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luis perez\Documents\Documents Lluis\UPC-2021\PlaTIC 2021\"/>
    </mc:Choice>
  </mc:AlternateContent>
  <bookViews>
    <workbookView xWindow="0" yWindow="0" windowWidth="23040" windowHeight="8688" tabRatio="574"/>
  </bookViews>
  <sheets>
    <sheet name="Peticions PDI o PAS" sheetId="9" r:id="rId1"/>
    <sheet name="Llistes" sheetId="5" r:id="rId2"/>
    <sheet name="Finançament" sheetId="3" r:id="rId3"/>
    <sheet name="Calculs" sheetId="4" r:id="rId4"/>
    <sheet name="Resum" sheetId="8" r:id="rId5"/>
  </sheets>
  <calcPr calcId="162913"/>
</workbook>
</file>

<file path=xl/calcChain.xml><?xml version="1.0" encoding="utf-8"?>
<calcChain xmlns="http://schemas.openxmlformats.org/spreadsheetml/2006/main">
  <c r="BJ36" i="9" l="1"/>
  <c r="BI36" i="9"/>
  <c r="BH36" i="9"/>
  <c r="BG36" i="9"/>
  <c r="BF36" i="9"/>
  <c r="BE36" i="9"/>
  <c r="BD36" i="9"/>
  <c r="BC36" i="9"/>
  <c r="BB36" i="9"/>
  <c r="BA36" i="9"/>
  <c r="AZ36" i="9"/>
  <c r="AY36" i="9"/>
  <c r="AX36" i="9"/>
  <c r="AW36" i="9"/>
  <c r="AV36" i="9"/>
  <c r="BK36" i="9" s="1"/>
  <c r="AU36" i="9"/>
  <c r="AT36" i="9"/>
  <c r="AS36" i="9"/>
  <c r="AR36" i="9"/>
  <c r="AQ36" i="9"/>
  <c r="AP36" i="9"/>
  <c r="AO36" i="9"/>
  <c r="BH35" i="9"/>
  <c r="BI35" i="9" s="1"/>
  <c r="BG35" i="9"/>
  <c r="BF35" i="9"/>
  <c r="BE35" i="9"/>
  <c r="BD35" i="9"/>
  <c r="BC35" i="9"/>
  <c r="BB35" i="9"/>
  <c r="AZ35" i="9"/>
  <c r="BA35" i="9" s="1"/>
  <c r="AY35" i="9"/>
  <c r="AX35" i="9"/>
  <c r="AW35" i="9"/>
  <c r="AU35" i="9"/>
  <c r="BJ35" i="9" s="1"/>
  <c r="AS35" i="9"/>
  <c r="AR35" i="9"/>
  <c r="AQ35" i="9"/>
  <c r="AP35" i="9"/>
  <c r="AO35" i="9"/>
  <c r="BJ34" i="9"/>
  <c r="AT34" i="9" s="1"/>
  <c r="BH34" i="9"/>
  <c r="BI34" i="9" s="1"/>
  <c r="BG34" i="9"/>
  <c r="BF34" i="9"/>
  <c r="BE34" i="9"/>
  <c r="BD34" i="9"/>
  <c r="BC34" i="9"/>
  <c r="BB34" i="9"/>
  <c r="AZ34" i="9"/>
  <c r="BA34" i="9" s="1"/>
  <c r="AY34" i="9"/>
  <c r="AX34" i="9"/>
  <c r="AW34" i="9"/>
  <c r="AU34" i="9"/>
  <c r="AV34" i="9" s="1"/>
  <c r="AS34" i="9"/>
  <c r="AR34" i="9"/>
  <c r="AQ34" i="9"/>
  <c r="AP34" i="9"/>
  <c r="AO34" i="9"/>
  <c r="BI33" i="9"/>
  <c r="BH33" i="9"/>
  <c r="BG33" i="9"/>
  <c r="BF33" i="9"/>
  <c r="BE33" i="9"/>
  <c r="BD33" i="9"/>
  <c r="BC33" i="9"/>
  <c r="BB33" i="9"/>
  <c r="BA33" i="9"/>
  <c r="AZ33" i="9"/>
  <c r="BJ33" i="9" s="1"/>
  <c r="AY33" i="9"/>
  <c r="AX33" i="9"/>
  <c r="AW33" i="9"/>
  <c r="AV33" i="9"/>
  <c r="BK33" i="9" s="1"/>
  <c r="AU33" i="9"/>
  <c r="AS33" i="9"/>
  <c r="AR33" i="9"/>
  <c r="AT33" i="9" s="1"/>
  <c r="AQ33" i="9"/>
  <c r="AP33" i="9"/>
  <c r="AO33" i="9"/>
  <c r="BH32" i="9"/>
  <c r="BI32" i="9" s="1"/>
  <c r="BG32" i="9"/>
  <c r="BF32" i="9"/>
  <c r="BE32" i="9"/>
  <c r="BD32" i="9"/>
  <c r="BC32" i="9"/>
  <c r="BB32" i="9"/>
  <c r="AZ32" i="9"/>
  <c r="BA32" i="9" s="1"/>
  <c r="AY32" i="9"/>
  <c r="AX32" i="9"/>
  <c r="AW32" i="9"/>
  <c r="AU32" i="9"/>
  <c r="AV32" i="9" s="1"/>
  <c r="AS32" i="9"/>
  <c r="AR32" i="9"/>
  <c r="AQ32" i="9"/>
  <c r="AP32" i="9"/>
  <c r="AO32" i="9"/>
  <c r="BH31" i="9"/>
  <c r="BI31" i="9" s="1"/>
  <c r="BG31" i="9"/>
  <c r="BF31" i="9"/>
  <c r="BE31" i="9"/>
  <c r="BJ31" i="9" s="1"/>
  <c r="AT31" i="9" s="1"/>
  <c r="BD31" i="9"/>
  <c r="BC31" i="9"/>
  <c r="BB31" i="9"/>
  <c r="AZ31" i="9"/>
  <c r="BA31" i="9" s="1"/>
  <c r="AY31" i="9"/>
  <c r="AX31" i="9"/>
  <c r="AW31" i="9"/>
  <c r="AV31" i="9"/>
  <c r="AU31" i="9"/>
  <c r="AS31" i="9"/>
  <c r="AR31" i="9"/>
  <c r="AQ31" i="9"/>
  <c r="AP31" i="9"/>
  <c r="AO31" i="9"/>
  <c r="BI30" i="9"/>
  <c r="BH30" i="9"/>
  <c r="BG30" i="9"/>
  <c r="BF30" i="9"/>
  <c r="BE30" i="9"/>
  <c r="BD30" i="9"/>
  <c r="BC30" i="9"/>
  <c r="BB30" i="9"/>
  <c r="BA30" i="9"/>
  <c r="AZ30" i="9"/>
  <c r="AY30" i="9"/>
  <c r="AX30" i="9"/>
  <c r="AW30" i="9"/>
  <c r="AU30" i="9"/>
  <c r="AV30" i="9" s="1"/>
  <c r="BK30" i="9" s="1"/>
  <c r="AS30" i="9"/>
  <c r="AR30" i="9"/>
  <c r="AQ30" i="9"/>
  <c r="AP30" i="9"/>
  <c r="AO30" i="9"/>
  <c r="BH29" i="9"/>
  <c r="BI29" i="9" s="1"/>
  <c r="BG29" i="9"/>
  <c r="BF29" i="9"/>
  <c r="BE29" i="9"/>
  <c r="BJ29" i="9" s="1"/>
  <c r="AT29" i="9" s="1"/>
  <c r="BD29" i="9"/>
  <c r="BC29" i="9"/>
  <c r="BB29" i="9"/>
  <c r="AZ29" i="9"/>
  <c r="BA29" i="9" s="1"/>
  <c r="AY29" i="9"/>
  <c r="AX29" i="9"/>
  <c r="AW29" i="9"/>
  <c r="AU29" i="9"/>
  <c r="AV29" i="9" s="1"/>
  <c r="BK29" i="9" s="1"/>
  <c r="AS29" i="9"/>
  <c r="AR29" i="9"/>
  <c r="AQ29" i="9"/>
  <c r="AP29" i="9"/>
  <c r="AO29" i="9"/>
  <c r="BJ28" i="9"/>
  <c r="BI28" i="9"/>
  <c r="BH28" i="9"/>
  <c r="BG28" i="9"/>
  <c r="BF28" i="9"/>
  <c r="BE28" i="9"/>
  <c r="BD28" i="9"/>
  <c r="BC28" i="9"/>
  <c r="BB28" i="9"/>
  <c r="BA28" i="9"/>
  <c r="AZ28" i="9"/>
  <c r="AY28" i="9"/>
  <c r="AX28" i="9"/>
  <c r="AW28" i="9"/>
  <c r="AV28" i="9"/>
  <c r="BK28" i="9" s="1"/>
  <c r="AU28" i="9"/>
  <c r="AT28" i="9"/>
  <c r="AS28" i="9"/>
  <c r="AR28" i="9"/>
  <c r="AQ28" i="9"/>
  <c r="AP28" i="9"/>
  <c r="AO28" i="9"/>
  <c r="BH27" i="9"/>
  <c r="BI27" i="9" s="1"/>
  <c r="BG27" i="9"/>
  <c r="BF27" i="9"/>
  <c r="BE27" i="9"/>
  <c r="BD27" i="9"/>
  <c r="BC27" i="9"/>
  <c r="BB27" i="9"/>
  <c r="AZ27" i="9"/>
  <c r="BA27" i="9" s="1"/>
  <c r="AY27" i="9"/>
  <c r="AX27" i="9"/>
  <c r="AW27" i="9"/>
  <c r="AU27" i="9"/>
  <c r="BJ27" i="9" s="1"/>
  <c r="AS27" i="9"/>
  <c r="AR27" i="9"/>
  <c r="AT27" i="9" s="1"/>
  <c r="AQ27" i="9"/>
  <c r="AP27" i="9"/>
  <c r="AO27" i="9"/>
  <c r="BJ26" i="9"/>
  <c r="AT26" i="9" s="1"/>
  <c r="BH26" i="9"/>
  <c r="BI26" i="9" s="1"/>
  <c r="BG26" i="9"/>
  <c r="BF26" i="9"/>
  <c r="BE26" i="9"/>
  <c r="BD26" i="9"/>
  <c r="BC26" i="9"/>
  <c r="BB26" i="9"/>
  <c r="AZ26" i="9"/>
  <c r="BA26" i="9" s="1"/>
  <c r="AY26" i="9"/>
  <c r="AX26" i="9"/>
  <c r="AW26" i="9"/>
  <c r="AU26" i="9"/>
  <c r="AV26" i="9" s="1"/>
  <c r="BK26" i="9" s="1"/>
  <c r="AS26" i="9"/>
  <c r="AR26" i="9"/>
  <c r="AQ26" i="9"/>
  <c r="AP26" i="9"/>
  <c r="AO26" i="9"/>
  <c r="BI25" i="9"/>
  <c r="BH25" i="9"/>
  <c r="BG25" i="9"/>
  <c r="BF25" i="9"/>
  <c r="BE25" i="9"/>
  <c r="BD25" i="9"/>
  <c r="BC25" i="9"/>
  <c r="BB25" i="9"/>
  <c r="BA25" i="9"/>
  <c r="AZ25" i="9"/>
  <c r="AY25" i="9"/>
  <c r="AX25" i="9"/>
  <c r="AW25" i="9"/>
  <c r="AV25" i="9"/>
  <c r="BK25" i="9" s="1"/>
  <c r="AU25" i="9"/>
  <c r="BJ25" i="9" s="1"/>
  <c r="AS25" i="9"/>
  <c r="AR25" i="9"/>
  <c r="AQ25" i="9"/>
  <c r="AP25" i="9"/>
  <c r="AO25" i="9"/>
  <c r="BH24" i="9"/>
  <c r="BI24" i="9" s="1"/>
  <c r="BG24" i="9"/>
  <c r="BF24" i="9"/>
  <c r="BE24" i="9"/>
  <c r="BD24" i="9"/>
  <c r="BC24" i="9"/>
  <c r="BB24" i="9"/>
  <c r="AZ24" i="9"/>
  <c r="BA24" i="9" s="1"/>
  <c r="AY24" i="9"/>
  <c r="AX24" i="9"/>
  <c r="AW24" i="9"/>
  <c r="AU24" i="9"/>
  <c r="AV24" i="9" s="1"/>
  <c r="AS24" i="9"/>
  <c r="AR24" i="9"/>
  <c r="AQ24" i="9"/>
  <c r="AP24" i="9"/>
  <c r="AO24" i="9"/>
  <c r="BH23" i="9"/>
  <c r="BI23" i="9" s="1"/>
  <c r="BG23" i="9"/>
  <c r="BF23" i="9"/>
  <c r="BE23" i="9"/>
  <c r="BJ23" i="9" s="1"/>
  <c r="AT23" i="9" s="1"/>
  <c r="BD23" i="9"/>
  <c r="BC23" i="9"/>
  <c r="BB23" i="9"/>
  <c r="AZ23" i="9"/>
  <c r="BA23" i="9" s="1"/>
  <c r="AY23" i="9"/>
  <c r="AX23" i="9"/>
  <c r="AW23" i="9"/>
  <c r="AV23" i="9"/>
  <c r="BK23" i="9" s="1"/>
  <c r="AU23" i="9"/>
  <c r="AS23" i="9"/>
  <c r="AR23" i="9"/>
  <c r="AQ23" i="9"/>
  <c r="AP23" i="9"/>
  <c r="AO23" i="9"/>
  <c r="BI22" i="9"/>
  <c r="BH22" i="9"/>
  <c r="BG22" i="9"/>
  <c r="BF22" i="9"/>
  <c r="BE22" i="9"/>
  <c r="BD22" i="9"/>
  <c r="BC22" i="9"/>
  <c r="BB22" i="9"/>
  <c r="BA22" i="9"/>
  <c r="AZ22" i="9"/>
  <c r="AY22" i="9"/>
  <c r="AX22" i="9"/>
  <c r="AW22" i="9"/>
  <c r="AU22" i="9"/>
  <c r="AV22" i="9" s="1"/>
  <c r="BK22" i="9" s="1"/>
  <c r="AS22" i="9"/>
  <c r="AR22" i="9"/>
  <c r="AQ22" i="9"/>
  <c r="AP22" i="9"/>
  <c r="AO22" i="9"/>
  <c r="BJ21" i="9"/>
  <c r="BH21" i="9"/>
  <c r="BI21" i="9" s="1"/>
  <c r="BG21" i="9"/>
  <c r="BF21" i="9"/>
  <c r="BE21" i="9"/>
  <c r="BD21" i="9"/>
  <c r="BC21" i="9"/>
  <c r="BB21" i="9"/>
  <c r="AZ21" i="9"/>
  <c r="BA21" i="9" s="1"/>
  <c r="AY21" i="9"/>
  <c r="AX21" i="9"/>
  <c r="AW21" i="9"/>
  <c r="AU21" i="9"/>
  <c r="AV21" i="9" s="1"/>
  <c r="AT21" i="9"/>
  <c r="AS21" i="9"/>
  <c r="AR21" i="9"/>
  <c r="AQ21" i="9"/>
  <c r="AP21" i="9"/>
  <c r="AO21" i="9"/>
  <c r="BJ20" i="9"/>
  <c r="AT20" i="9" s="1"/>
  <c r="BI20" i="9"/>
  <c r="BH20" i="9"/>
  <c r="BG20" i="9"/>
  <c r="BF20" i="9"/>
  <c r="BE20" i="9"/>
  <c r="BD20" i="9"/>
  <c r="BC20" i="9"/>
  <c r="BB20" i="9"/>
  <c r="BA20" i="9"/>
  <c r="AZ20" i="9"/>
  <c r="AY20" i="9"/>
  <c r="AX20" i="9"/>
  <c r="AW20" i="9"/>
  <c r="AV20" i="9"/>
  <c r="BK20" i="9" s="1"/>
  <c r="AU20" i="9"/>
  <c r="AS20" i="9"/>
  <c r="AR20" i="9"/>
  <c r="AQ20" i="9"/>
  <c r="AP20" i="9"/>
  <c r="AO20" i="9"/>
  <c r="BH19" i="9"/>
  <c r="BI19" i="9" s="1"/>
  <c r="BG19" i="9"/>
  <c r="BF19" i="9"/>
  <c r="BE19" i="9"/>
  <c r="BD19" i="9"/>
  <c r="BC19" i="9"/>
  <c r="BB19" i="9"/>
  <c r="AZ19" i="9"/>
  <c r="BA19" i="9" s="1"/>
  <c r="AY19" i="9"/>
  <c r="AX19" i="9"/>
  <c r="AW19" i="9"/>
  <c r="AU19" i="9"/>
  <c r="BJ19" i="9" s="1"/>
  <c r="AS19" i="9"/>
  <c r="AR19" i="9"/>
  <c r="AQ19" i="9"/>
  <c r="AP19" i="9"/>
  <c r="AO19" i="9"/>
  <c r="BJ18" i="9"/>
  <c r="AT18" i="9" s="1"/>
  <c r="BH18" i="9"/>
  <c r="BI18" i="9" s="1"/>
  <c r="BG18" i="9"/>
  <c r="BF18" i="9"/>
  <c r="BE18" i="9"/>
  <c r="BD18" i="9"/>
  <c r="BC18" i="9"/>
  <c r="BB18" i="9"/>
  <c r="AZ18" i="9"/>
  <c r="BA18" i="9" s="1"/>
  <c r="AY18" i="9"/>
  <c r="AX18" i="9"/>
  <c r="AW18" i="9"/>
  <c r="AV18" i="9"/>
  <c r="AU18" i="9"/>
  <c r="AS18" i="9"/>
  <c r="AR18" i="9"/>
  <c r="AQ18" i="9"/>
  <c r="AP18" i="9"/>
  <c r="AO18" i="9"/>
  <c r="BI17" i="9"/>
  <c r="BH17" i="9"/>
  <c r="BG17" i="9"/>
  <c r="BF17" i="9"/>
  <c r="BE17" i="9"/>
  <c r="BD17" i="9"/>
  <c r="BC17" i="9"/>
  <c r="BB17" i="9"/>
  <c r="BA17" i="9"/>
  <c r="AZ17" i="9"/>
  <c r="AY17" i="9"/>
  <c r="AX17" i="9"/>
  <c r="AW17" i="9"/>
  <c r="AV17" i="9"/>
  <c r="BK17" i="9" s="1"/>
  <c r="AU17" i="9"/>
  <c r="BJ17" i="9" s="1"/>
  <c r="AS17" i="9"/>
  <c r="AR17" i="9"/>
  <c r="AQ17" i="9"/>
  <c r="AP17" i="9"/>
  <c r="AO17" i="9"/>
  <c r="BH16" i="9"/>
  <c r="BI16" i="9" s="1"/>
  <c r="BG16" i="9"/>
  <c r="BF16" i="9"/>
  <c r="BE16" i="9"/>
  <c r="BD16" i="9"/>
  <c r="BC16" i="9"/>
  <c r="BB16" i="9"/>
  <c r="AZ16" i="9"/>
  <c r="BA16" i="9" s="1"/>
  <c r="AY16" i="9"/>
  <c r="AX16" i="9"/>
  <c r="AW16" i="9"/>
  <c r="AU16" i="9"/>
  <c r="AV16" i="9" s="1"/>
  <c r="AS16" i="9"/>
  <c r="AR16" i="9"/>
  <c r="AQ16" i="9"/>
  <c r="AP16" i="9"/>
  <c r="AO16" i="9"/>
  <c r="BI15" i="9"/>
  <c r="BH15" i="9"/>
  <c r="BG15" i="9"/>
  <c r="BF15" i="9"/>
  <c r="BE15" i="9"/>
  <c r="BJ15" i="9" s="1"/>
  <c r="AT15" i="9" s="1"/>
  <c r="BD15" i="9"/>
  <c r="BC15" i="9"/>
  <c r="BB15" i="9"/>
  <c r="BA15" i="9"/>
  <c r="AZ15" i="9"/>
  <c r="AY15" i="9"/>
  <c r="AX15" i="9"/>
  <c r="AW15" i="9"/>
  <c r="AV15" i="9"/>
  <c r="BK15" i="9" s="1"/>
  <c r="AU15" i="9"/>
  <c r="AS15" i="9"/>
  <c r="AR15" i="9"/>
  <c r="AQ15" i="9"/>
  <c r="AP15" i="9"/>
  <c r="AO15" i="9"/>
  <c r="BI14" i="9"/>
  <c r="BH14" i="9"/>
  <c r="BG14" i="9"/>
  <c r="BF14" i="9"/>
  <c r="BE14" i="9"/>
  <c r="BD14" i="9"/>
  <c r="BC14" i="9"/>
  <c r="BB14" i="9"/>
  <c r="BA14" i="9"/>
  <c r="AZ14" i="9"/>
  <c r="AY14" i="9"/>
  <c r="AX14" i="9"/>
  <c r="AW14" i="9"/>
  <c r="AU14" i="9"/>
  <c r="AV14" i="9" s="1"/>
  <c r="BK14" i="9" s="1"/>
  <c r="AS14" i="9"/>
  <c r="AR14" i="9"/>
  <c r="AQ14" i="9"/>
  <c r="AP14" i="9"/>
  <c r="AO14" i="9"/>
  <c r="BJ13" i="9"/>
  <c r="AT13" i="9" s="1"/>
  <c r="BH13" i="9"/>
  <c r="BI13" i="9" s="1"/>
  <c r="BG13" i="9"/>
  <c r="BF13" i="9"/>
  <c r="BE13" i="9"/>
  <c r="BD13" i="9"/>
  <c r="BC13" i="9"/>
  <c r="BB13" i="9"/>
  <c r="AZ13" i="9"/>
  <c r="BA13" i="9" s="1"/>
  <c r="AY13" i="9"/>
  <c r="AX13" i="9"/>
  <c r="AW13" i="9"/>
  <c r="AU13" i="9"/>
  <c r="AV13" i="9" s="1"/>
  <c r="AS13" i="9"/>
  <c r="AR13" i="9"/>
  <c r="AQ13" i="9"/>
  <c r="AP13" i="9"/>
  <c r="AO13" i="9"/>
  <c r="BJ12" i="9"/>
  <c r="AT12" i="9" s="1"/>
  <c r="BI12" i="9"/>
  <c r="BH12" i="9"/>
  <c r="BG12" i="9"/>
  <c r="BF12" i="9"/>
  <c r="BE12" i="9"/>
  <c r="BD12" i="9"/>
  <c r="BC12" i="9"/>
  <c r="BB12" i="9"/>
  <c r="BA12" i="9"/>
  <c r="AZ12" i="9"/>
  <c r="AY12" i="9"/>
  <c r="AX12" i="9"/>
  <c r="AW12" i="9"/>
  <c r="AV12" i="9"/>
  <c r="BK12" i="9" s="1"/>
  <c r="AU12" i="9"/>
  <c r="AS12" i="9"/>
  <c r="AR12" i="9"/>
  <c r="AQ12" i="9"/>
  <c r="AP12" i="9"/>
  <c r="AO12" i="9"/>
  <c r="AT25" i="9" l="1"/>
  <c r="BK18" i="9"/>
  <c r="AT19" i="9"/>
  <c r="BK24" i="9"/>
  <c r="BK13" i="9"/>
  <c r="AT14" i="9"/>
  <c r="AT17" i="9"/>
  <c r="BK21" i="9"/>
  <c r="BK34" i="9"/>
  <c r="AT35" i="9"/>
  <c r="BK16" i="9"/>
  <c r="AT30" i="9"/>
  <c r="BK31" i="9"/>
  <c r="BK32" i="9"/>
  <c r="AV19" i="9"/>
  <c r="BK19" i="9" s="1"/>
  <c r="AV27" i="9"/>
  <c r="BK27" i="9" s="1"/>
  <c r="AV35" i="9"/>
  <c r="BK35" i="9" s="1"/>
  <c r="BJ16" i="9"/>
  <c r="AT16" i="9" s="1"/>
  <c r="BJ24" i="9"/>
  <c r="AT24" i="9" s="1"/>
  <c r="BJ32" i="9"/>
  <c r="AT32" i="9" s="1"/>
  <c r="BJ14" i="9"/>
  <c r="BJ22" i="9"/>
  <c r="AT22" i="9" s="1"/>
  <c r="BJ30" i="9"/>
  <c r="BJ110" i="9"/>
  <c r="BJ109" i="9"/>
  <c r="BJ108" i="9"/>
  <c r="BJ107" i="9"/>
  <c r="BJ106" i="9"/>
  <c r="BJ105" i="9"/>
  <c r="BJ104" i="9"/>
  <c r="BJ103" i="9"/>
  <c r="BJ102" i="9"/>
  <c r="BJ101" i="9"/>
  <c r="BJ100" i="9"/>
  <c r="BJ99" i="9"/>
  <c r="BJ98" i="9"/>
  <c r="BJ97" i="9"/>
  <c r="BJ96" i="9"/>
  <c r="BJ95" i="9"/>
  <c r="BJ94" i="9"/>
  <c r="BJ93" i="9"/>
  <c r="BJ92" i="9"/>
  <c r="BJ91" i="9"/>
  <c r="BJ90" i="9"/>
  <c r="BJ89" i="9"/>
  <c r="BJ88" i="9"/>
  <c r="BJ87" i="9"/>
  <c r="BJ86" i="9"/>
  <c r="BJ85" i="9"/>
  <c r="BJ84" i="9"/>
  <c r="BJ83" i="9"/>
  <c r="BJ82" i="9"/>
  <c r="BJ81" i="9"/>
  <c r="BJ80" i="9"/>
  <c r="BJ79" i="9"/>
  <c r="BJ78" i="9"/>
  <c r="BJ77" i="9"/>
  <c r="BJ76" i="9"/>
  <c r="BJ75" i="9"/>
  <c r="BJ74" i="9"/>
  <c r="BJ73" i="9"/>
  <c r="BJ72" i="9"/>
  <c r="BJ71" i="9"/>
  <c r="BJ70" i="9"/>
  <c r="BJ69" i="9"/>
  <c r="BJ68" i="9"/>
  <c r="BJ67" i="9"/>
  <c r="BJ66" i="9"/>
  <c r="BJ65" i="9"/>
  <c r="BJ64" i="9"/>
  <c r="BJ63" i="9"/>
  <c r="BJ62" i="9"/>
  <c r="BJ61" i="9"/>
  <c r="BJ60" i="9"/>
  <c r="BJ59" i="9"/>
  <c r="BJ58" i="9"/>
  <c r="BJ57" i="9"/>
  <c r="BJ56" i="9"/>
  <c r="BJ55" i="9"/>
  <c r="BJ54" i="9"/>
  <c r="BJ53" i="9"/>
  <c r="BJ52" i="9"/>
  <c r="AS110" i="9" l="1"/>
  <c r="AS109" i="9"/>
  <c r="AS108" i="9"/>
  <c r="AS107" i="9"/>
  <c r="AS106" i="9"/>
  <c r="AS105" i="9"/>
  <c r="AS104" i="9"/>
  <c r="AS103" i="9"/>
  <c r="AS102" i="9"/>
  <c r="AS101" i="9"/>
  <c r="AS100" i="9"/>
  <c r="AS99" i="9"/>
  <c r="AS98" i="9"/>
  <c r="AS97" i="9"/>
  <c r="AS96" i="9"/>
  <c r="AS95" i="9"/>
  <c r="AS94" i="9"/>
  <c r="AS93" i="9"/>
  <c r="AS92" i="9"/>
  <c r="AS91" i="9"/>
  <c r="AS90" i="9"/>
  <c r="AS89" i="9"/>
  <c r="AS88" i="9"/>
  <c r="AS87" i="9"/>
  <c r="AS86" i="9"/>
  <c r="AS85" i="9"/>
  <c r="AS84" i="9"/>
  <c r="AS83" i="9"/>
  <c r="AS82" i="9"/>
  <c r="AS81" i="9"/>
  <c r="AS80" i="9"/>
  <c r="AS79" i="9"/>
  <c r="AS78" i="9"/>
  <c r="AS77" i="9"/>
  <c r="AS76" i="9"/>
  <c r="AS75" i="9"/>
  <c r="AS74" i="9"/>
  <c r="AS73" i="9"/>
  <c r="AS72" i="9"/>
  <c r="AS71" i="9"/>
  <c r="AS70" i="9"/>
  <c r="AS69" i="9"/>
  <c r="AS68" i="9"/>
  <c r="AS67" i="9"/>
  <c r="AS66" i="9"/>
  <c r="AS65" i="9"/>
  <c r="AS64" i="9"/>
  <c r="AS63" i="9"/>
  <c r="AS62" i="9"/>
  <c r="AS61" i="9"/>
  <c r="AS60" i="9"/>
  <c r="AS59" i="9"/>
  <c r="AS58" i="9"/>
  <c r="AS57" i="9"/>
  <c r="AS56" i="9"/>
  <c r="AS55" i="9"/>
  <c r="AS54" i="9"/>
  <c r="AS53" i="9"/>
  <c r="AS52" i="9"/>
  <c r="AS51" i="9"/>
  <c r="AS50" i="9"/>
  <c r="AS49" i="9"/>
  <c r="AS48" i="9"/>
  <c r="AS47" i="9"/>
  <c r="AS46" i="9"/>
  <c r="AS45" i="9"/>
  <c r="AS44" i="9"/>
  <c r="AS43" i="9"/>
  <c r="AS42" i="9"/>
  <c r="AS41" i="9"/>
  <c r="AS40" i="9"/>
  <c r="AS39" i="9"/>
  <c r="AS38" i="9"/>
  <c r="AS37" i="9"/>
  <c r="AS11" i="9"/>
  <c r="B2" i="8" l="1"/>
  <c r="F22" i="8" s="1"/>
  <c r="D49" i="4"/>
  <c r="D48" i="4"/>
  <c r="D47" i="4"/>
  <c r="D43" i="4"/>
  <c r="D42" i="4"/>
  <c r="D41" i="4"/>
  <c r="D40" i="4"/>
  <c r="D36" i="4"/>
  <c r="D11" i="8" s="1"/>
  <c r="AO6" i="9"/>
  <c r="AR110" i="9"/>
  <c r="AR109" i="9"/>
  <c r="AR108" i="9"/>
  <c r="AR107" i="9"/>
  <c r="AR106" i="9"/>
  <c r="AR105" i="9"/>
  <c r="AR104" i="9"/>
  <c r="AR103" i="9"/>
  <c r="AR102" i="9"/>
  <c r="AR101" i="9"/>
  <c r="AR100" i="9"/>
  <c r="AR99" i="9"/>
  <c r="AR98" i="9"/>
  <c r="AR97" i="9"/>
  <c r="AR96" i="9"/>
  <c r="AR95" i="9"/>
  <c r="AR94" i="9"/>
  <c r="AR93" i="9"/>
  <c r="AR92" i="9"/>
  <c r="AR91" i="9"/>
  <c r="AR90" i="9"/>
  <c r="AR89" i="9"/>
  <c r="AR88" i="9"/>
  <c r="AR87" i="9"/>
  <c r="AR86" i="9"/>
  <c r="AR85" i="9"/>
  <c r="AR84" i="9"/>
  <c r="AR83" i="9"/>
  <c r="AR82" i="9"/>
  <c r="AR81" i="9"/>
  <c r="AR80" i="9"/>
  <c r="AR79" i="9"/>
  <c r="AR78" i="9"/>
  <c r="AR77" i="9"/>
  <c r="AR76" i="9"/>
  <c r="AR75" i="9"/>
  <c r="AR74" i="9"/>
  <c r="AR73" i="9"/>
  <c r="AR72" i="9"/>
  <c r="AR71" i="9"/>
  <c r="AR70" i="9"/>
  <c r="AR69" i="9"/>
  <c r="AR68" i="9"/>
  <c r="AR67" i="9"/>
  <c r="AR66" i="9"/>
  <c r="AR65" i="9"/>
  <c r="AR64" i="9"/>
  <c r="AR63" i="9"/>
  <c r="AR62" i="9"/>
  <c r="AR61" i="9"/>
  <c r="AR60" i="9"/>
  <c r="AR59" i="9"/>
  <c r="AR58" i="9"/>
  <c r="AR57" i="9"/>
  <c r="AR56" i="9"/>
  <c r="AR55" i="9"/>
  <c r="AR54" i="9"/>
  <c r="AR53" i="9"/>
  <c r="AR52" i="9"/>
  <c r="AR51" i="9"/>
  <c r="AR50" i="9"/>
  <c r="AR49" i="9"/>
  <c r="AR48" i="9"/>
  <c r="AR47" i="9"/>
  <c r="AR46" i="9"/>
  <c r="AR45" i="9"/>
  <c r="AR44" i="9"/>
  <c r="AR43" i="9"/>
  <c r="AR42" i="9"/>
  <c r="AR41" i="9"/>
  <c r="AR40" i="9"/>
  <c r="AR39" i="9"/>
  <c r="AR38" i="9"/>
  <c r="AR37" i="9"/>
  <c r="AR11" i="9"/>
  <c r="AQ110" i="9"/>
  <c r="AQ109" i="9"/>
  <c r="AQ108" i="9"/>
  <c r="AQ107" i="9"/>
  <c r="AQ106" i="9"/>
  <c r="AQ105" i="9"/>
  <c r="AQ104" i="9"/>
  <c r="AQ103" i="9"/>
  <c r="AQ102" i="9"/>
  <c r="AQ101" i="9"/>
  <c r="AQ100" i="9"/>
  <c r="AQ99" i="9"/>
  <c r="AQ98" i="9"/>
  <c r="AQ97" i="9"/>
  <c r="AQ96" i="9"/>
  <c r="AQ95" i="9"/>
  <c r="AQ94" i="9"/>
  <c r="AQ93" i="9"/>
  <c r="AQ92" i="9"/>
  <c r="AQ91" i="9"/>
  <c r="AQ90" i="9"/>
  <c r="AQ89" i="9"/>
  <c r="AQ88" i="9"/>
  <c r="AQ87" i="9"/>
  <c r="AQ86" i="9"/>
  <c r="AQ85" i="9"/>
  <c r="AQ84" i="9"/>
  <c r="AQ83" i="9"/>
  <c r="AQ82" i="9"/>
  <c r="AQ81" i="9"/>
  <c r="AQ80" i="9"/>
  <c r="AQ79" i="9"/>
  <c r="AQ78" i="9"/>
  <c r="AQ77" i="9"/>
  <c r="AQ76" i="9"/>
  <c r="AQ75" i="9"/>
  <c r="AQ74" i="9"/>
  <c r="AQ73" i="9"/>
  <c r="AQ72" i="9"/>
  <c r="AQ71" i="9"/>
  <c r="AQ70" i="9"/>
  <c r="AQ69" i="9"/>
  <c r="AQ68" i="9"/>
  <c r="AQ67" i="9"/>
  <c r="AQ66" i="9"/>
  <c r="AQ65" i="9"/>
  <c r="AQ64" i="9"/>
  <c r="AQ63" i="9"/>
  <c r="AQ62" i="9"/>
  <c r="AQ61" i="9"/>
  <c r="AQ60" i="9"/>
  <c r="AQ59" i="9"/>
  <c r="AQ58" i="9"/>
  <c r="AQ57" i="9"/>
  <c r="AQ56" i="9"/>
  <c r="AQ55" i="9"/>
  <c r="AQ54" i="9"/>
  <c r="AQ53" i="9"/>
  <c r="AQ52" i="9"/>
  <c r="AQ51" i="9"/>
  <c r="AQ50" i="9"/>
  <c r="AQ49" i="9"/>
  <c r="AQ48" i="9"/>
  <c r="AQ47" i="9"/>
  <c r="AQ46" i="9"/>
  <c r="AQ45" i="9"/>
  <c r="AQ44" i="9"/>
  <c r="AQ43" i="9"/>
  <c r="AQ42" i="9"/>
  <c r="AQ41" i="9"/>
  <c r="AQ40" i="9"/>
  <c r="AQ39" i="9"/>
  <c r="AQ38" i="9"/>
  <c r="AQ37" i="9"/>
  <c r="AQ11" i="9"/>
  <c r="E57" i="3"/>
  <c r="E56" i="3"/>
  <c r="E55" i="3"/>
  <c r="E54" i="3"/>
  <c r="E53" i="3"/>
  <c r="E52" i="3"/>
  <c r="E51" i="3"/>
  <c r="E50" i="3"/>
  <c r="E49" i="3"/>
  <c r="E48" i="3"/>
  <c r="E47" i="3"/>
  <c r="E46" i="3"/>
  <c r="E45" i="3"/>
  <c r="E44" i="3"/>
  <c r="E43" i="3"/>
  <c r="E42" i="3"/>
  <c r="E41" i="3"/>
  <c r="E40" i="3"/>
  <c r="E39" i="3"/>
  <c r="E38" i="3"/>
  <c r="E37" i="3"/>
  <c r="E36" i="3"/>
  <c r="E35" i="3"/>
  <c r="E34" i="3"/>
  <c r="E33" i="3"/>
  <c r="E32" i="3"/>
  <c r="E31" i="3"/>
  <c r="E30" i="3"/>
  <c r="E29" i="3"/>
  <c r="E28" i="3"/>
  <c r="E27" i="3"/>
  <c r="E26" i="3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E12" i="3"/>
  <c r="E11" i="3"/>
  <c r="E10" i="3"/>
  <c r="E9" i="3"/>
  <c r="E8" i="3"/>
  <c r="E7" i="3"/>
  <c r="E6" i="3"/>
  <c r="E5" i="3"/>
  <c r="E4" i="3"/>
  <c r="E3" i="3"/>
  <c r="D57" i="3"/>
  <c r="C57" i="3"/>
  <c r="F2" i="9"/>
  <c r="AO59" i="9" l="1"/>
  <c r="AO91" i="9"/>
  <c r="F2" i="8"/>
  <c r="AO63" i="9"/>
  <c r="AO95" i="9"/>
  <c r="AO39" i="9"/>
  <c r="AO71" i="9"/>
  <c r="AO103" i="9"/>
  <c r="AO67" i="9"/>
  <c r="AO11" i="9"/>
  <c r="AO43" i="9"/>
  <c r="AO75" i="9"/>
  <c r="AO107" i="9"/>
  <c r="AO47" i="9"/>
  <c r="AO79" i="9"/>
  <c r="AO99" i="9"/>
  <c r="AO51" i="9"/>
  <c r="AO83" i="9"/>
  <c r="AO55" i="9"/>
  <c r="AO87" i="9"/>
  <c r="AO38" i="9"/>
  <c r="AO42" i="9"/>
  <c r="AO46" i="9"/>
  <c r="AO50" i="9"/>
  <c r="AO54" i="9"/>
  <c r="AO58" i="9"/>
  <c r="AO62" i="9"/>
  <c r="AO66" i="9"/>
  <c r="AO70" i="9"/>
  <c r="AO74" i="9"/>
  <c r="AO78" i="9"/>
  <c r="AO82" i="9"/>
  <c r="AO86" i="9"/>
  <c r="AO90" i="9"/>
  <c r="AO94" i="9"/>
  <c r="AO98" i="9"/>
  <c r="AO102" i="9"/>
  <c r="AO106" i="9"/>
  <c r="AO110" i="9"/>
  <c r="AP6" i="9"/>
  <c r="AO68" i="9"/>
  <c r="AO40" i="9"/>
  <c r="AO44" i="9"/>
  <c r="AO48" i="9"/>
  <c r="AO52" i="9"/>
  <c r="AO56" i="9"/>
  <c r="AO60" i="9"/>
  <c r="AO64" i="9"/>
  <c r="AO72" i="9"/>
  <c r="AO76" i="9"/>
  <c r="AO80" i="9"/>
  <c r="AO84" i="9"/>
  <c r="AO88" i="9"/>
  <c r="AO92" i="9"/>
  <c r="AO96" i="9"/>
  <c r="AO100" i="9"/>
  <c r="AO104" i="9"/>
  <c r="AO108" i="9"/>
  <c r="AO37" i="9"/>
  <c r="AO41" i="9"/>
  <c r="AO45" i="9"/>
  <c r="AO49" i="9"/>
  <c r="AO53" i="9"/>
  <c r="AO57" i="9"/>
  <c r="AO61" i="9"/>
  <c r="AO65" i="9"/>
  <c r="AO69" i="9"/>
  <c r="AO73" i="9"/>
  <c r="AO77" i="9"/>
  <c r="AO81" i="9"/>
  <c r="AO85" i="9"/>
  <c r="AO89" i="9"/>
  <c r="AO93" i="9"/>
  <c r="AO97" i="9"/>
  <c r="AO101" i="9"/>
  <c r="AO105" i="9"/>
  <c r="AO109" i="9"/>
  <c r="BH110" i="9"/>
  <c r="BI110" i="9" s="1"/>
  <c r="BG110" i="9"/>
  <c r="BF110" i="9"/>
  <c r="BE110" i="9"/>
  <c r="BD110" i="9"/>
  <c r="BC110" i="9"/>
  <c r="BB110" i="9"/>
  <c r="AZ110" i="9"/>
  <c r="BA110" i="9" s="1"/>
  <c r="AY110" i="9"/>
  <c r="AX110" i="9"/>
  <c r="AW110" i="9"/>
  <c r="AU110" i="9"/>
  <c r="BH109" i="9"/>
  <c r="BI109" i="9" s="1"/>
  <c r="BG109" i="9"/>
  <c r="BF109" i="9"/>
  <c r="BE109" i="9"/>
  <c r="BD109" i="9"/>
  <c r="BC109" i="9"/>
  <c r="BB109" i="9"/>
  <c r="AZ109" i="9"/>
  <c r="BA109" i="9" s="1"/>
  <c r="AY109" i="9"/>
  <c r="AX109" i="9"/>
  <c r="AW109" i="9"/>
  <c r="AU109" i="9"/>
  <c r="BH108" i="9"/>
  <c r="BI108" i="9" s="1"/>
  <c r="BG108" i="9"/>
  <c r="BF108" i="9"/>
  <c r="BE108" i="9"/>
  <c r="BD108" i="9"/>
  <c r="BC108" i="9"/>
  <c r="BB108" i="9"/>
  <c r="AZ108" i="9"/>
  <c r="BA108" i="9" s="1"/>
  <c r="AY108" i="9"/>
  <c r="AX108" i="9"/>
  <c r="AW108" i="9"/>
  <c r="AU108" i="9"/>
  <c r="BH107" i="9"/>
  <c r="BI107" i="9" s="1"/>
  <c r="BG107" i="9"/>
  <c r="BF107" i="9"/>
  <c r="BE107" i="9"/>
  <c r="BD107" i="9"/>
  <c r="BC107" i="9"/>
  <c r="BB107" i="9"/>
  <c r="AZ107" i="9"/>
  <c r="BA107" i="9" s="1"/>
  <c r="AY107" i="9"/>
  <c r="AX107" i="9"/>
  <c r="AW107" i="9"/>
  <c r="AU107" i="9"/>
  <c r="BH106" i="9"/>
  <c r="BI106" i="9" s="1"/>
  <c r="BG106" i="9"/>
  <c r="BF106" i="9"/>
  <c r="BE106" i="9"/>
  <c r="BD106" i="9"/>
  <c r="BC106" i="9"/>
  <c r="BB106" i="9"/>
  <c r="AZ106" i="9"/>
  <c r="BA106" i="9" s="1"/>
  <c r="AY106" i="9"/>
  <c r="AX106" i="9"/>
  <c r="AW106" i="9"/>
  <c r="AU106" i="9"/>
  <c r="BH105" i="9"/>
  <c r="BI105" i="9" s="1"/>
  <c r="BG105" i="9"/>
  <c r="BF105" i="9"/>
  <c r="BE105" i="9"/>
  <c r="BD105" i="9"/>
  <c r="BC105" i="9"/>
  <c r="BB105" i="9"/>
  <c r="AZ105" i="9"/>
  <c r="BA105" i="9" s="1"/>
  <c r="AY105" i="9"/>
  <c r="AX105" i="9"/>
  <c r="AW105" i="9"/>
  <c r="AU105" i="9"/>
  <c r="BH104" i="9"/>
  <c r="BI104" i="9" s="1"/>
  <c r="BG104" i="9"/>
  <c r="BF104" i="9"/>
  <c r="BE104" i="9"/>
  <c r="BD104" i="9"/>
  <c r="BC104" i="9"/>
  <c r="BB104" i="9"/>
  <c r="AZ104" i="9"/>
  <c r="BA104" i="9" s="1"/>
  <c r="AY104" i="9"/>
  <c r="AX104" i="9"/>
  <c r="AW104" i="9"/>
  <c r="AU104" i="9"/>
  <c r="BH103" i="9"/>
  <c r="BI103" i="9" s="1"/>
  <c r="BG103" i="9"/>
  <c r="BF103" i="9"/>
  <c r="BE103" i="9"/>
  <c r="BD103" i="9"/>
  <c r="BC103" i="9"/>
  <c r="BB103" i="9"/>
  <c r="AZ103" i="9"/>
  <c r="BA103" i="9" s="1"/>
  <c r="AY103" i="9"/>
  <c r="AX103" i="9"/>
  <c r="AW103" i="9"/>
  <c r="AU103" i="9"/>
  <c r="BH102" i="9"/>
  <c r="BI102" i="9" s="1"/>
  <c r="BG102" i="9"/>
  <c r="BF102" i="9"/>
  <c r="BE102" i="9"/>
  <c r="BD102" i="9"/>
  <c r="BC102" i="9"/>
  <c r="BB102" i="9"/>
  <c r="AZ102" i="9"/>
  <c r="BA102" i="9" s="1"/>
  <c r="AY102" i="9"/>
  <c r="AX102" i="9"/>
  <c r="AW102" i="9"/>
  <c r="AU102" i="9"/>
  <c r="BH101" i="9"/>
  <c r="BI101" i="9" s="1"/>
  <c r="BG101" i="9"/>
  <c r="BF101" i="9"/>
  <c r="BE101" i="9"/>
  <c r="BD101" i="9"/>
  <c r="BC101" i="9"/>
  <c r="BB101" i="9"/>
  <c r="AZ101" i="9"/>
  <c r="BA101" i="9" s="1"/>
  <c r="AY101" i="9"/>
  <c r="AX101" i="9"/>
  <c r="AW101" i="9"/>
  <c r="AU101" i="9"/>
  <c r="BH100" i="9"/>
  <c r="BI100" i="9" s="1"/>
  <c r="BG100" i="9"/>
  <c r="BF100" i="9"/>
  <c r="BE100" i="9"/>
  <c r="BD100" i="9"/>
  <c r="BC100" i="9"/>
  <c r="BB100" i="9"/>
  <c r="AZ100" i="9"/>
  <c r="BA100" i="9" s="1"/>
  <c r="AY100" i="9"/>
  <c r="AX100" i="9"/>
  <c r="AW100" i="9"/>
  <c r="AU100" i="9"/>
  <c r="BH99" i="9"/>
  <c r="BI99" i="9" s="1"/>
  <c r="BG99" i="9"/>
  <c r="BF99" i="9"/>
  <c r="BE99" i="9"/>
  <c r="BD99" i="9"/>
  <c r="BC99" i="9"/>
  <c r="BB99" i="9"/>
  <c r="AZ99" i="9"/>
  <c r="BA99" i="9" s="1"/>
  <c r="AY99" i="9"/>
  <c r="AX99" i="9"/>
  <c r="AW99" i="9"/>
  <c r="AU99" i="9"/>
  <c r="BH98" i="9"/>
  <c r="BI98" i="9" s="1"/>
  <c r="BG98" i="9"/>
  <c r="BF98" i="9"/>
  <c r="BE98" i="9"/>
  <c r="BD98" i="9"/>
  <c r="BC98" i="9"/>
  <c r="BB98" i="9"/>
  <c r="AZ98" i="9"/>
  <c r="BA98" i="9" s="1"/>
  <c r="AY98" i="9"/>
  <c r="AX98" i="9"/>
  <c r="AW98" i="9"/>
  <c r="AU98" i="9"/>
  <c r="BH97" i="9"/>
  <c r="BI97" i="9" s="1"/>
  <c r="BG97" i="9"/>
  <c r="BF97" i="9"/>
  <c r="BE97" i="9"/>
  <c r="BD97" i="9"/>
  <c r="BC97" i="9"/>
  <c r="BB97" i="9"/>
  <c r="AZ97" i="9"/>
  <c r="BA97" i="9" s="1"/>
  <c r="AY97" i="9"/>
  <c r="AX97" i="9"/>
  <c r="AW97" i="9"/>
  <c r="AU97" i="9"/>
  <c r="BH96" i="9"/>
  <c r="BI96" i="9" s="1"/>
  <c r="BG96" i="9"/>
  <c r="BF96" i="9"/>
  <c r="BE96" i="9"/>
  <c r="BD96" i="9"/>
  <c r="BC96" i="9"/>
  <c r="BB96" i="9"/>
  <c r="AZ96" i="9"/>
  <c r="BA96" i="9" s="1"/>
  <c r="AY96" i="9"/>
  <c r="AX96" i="9"/>
  <c r="AW96" i="9"/>
  <c r="AU96" i="9"/>
  <c r="BH95" i="9"/>
  <c r="BI95" i="9" s="1"/>
  <c r="BG95" i="9"/>
  <c r="BF95" i="9"/>
  <c r="BE95" i="9"/>
  <c r="BD95" i="9"/>
  <c r="BC95" i="9"/>
  <c r="BB95" i="9"/>
  <c r="AZ95" i="9"/>
  <c r="BA95" i="9" s="1"/>
  <c r="AY95" i="9"/>
  <c r="AX95" i="9"/>
  <c r="AW95" i="9"/>
  <c r="AU95" i="9"/>
  <c r="BH94" i="9"/>
  <c r="BI94" i="9" s="1"/>
  <c r="BG94" i="9"/>
  <c r="BF94" i="9"/>
  <c r="BE94" i="9"/>
  <c r="BD94" i="9"/>
  <c r="BC94" i="9"/>
  <c r="BB94" i="9"/>
  <c r="AZ94" i="9"/>
  <c r="BA94" i="9" s="1"/>
  <c r="AY94" i="9"/>
  <c r="AX94" i="9"/>
  <c r="AW94" i="9"/>
  <c r="AU94" i="9"/>
  <c r="BH93" i="9"/>
  <c r="BI93" i="9" s="1"/>
  <c r="BG93" i="9"/>
  <c r="BF93" i="9"/>
  <c r="BE93" i="9"/>
  <c r="BD93" i="9"/>
  <c r="BC93" i="9"/>
  <c r="BB93" i="9"/>
  <c r="AZ93" i="9"/>
  <c r="BA93" i="9" s="1"/>
  <c r="AY93" i="9"/>
  <c r="AX93" i="9"/>
  <c r="AW93" i="9"/>
  <c r="AU93" i="9"/>
  <c r="BH92" i="9"/>
  <c r="BI92" i="9" s="1"/>
  <c r="BG92" i="9"/>
  <c r="BF92" i="9"/>
  <c r="BE92" i="9"/>
  <c r="BD92" i="9"/>
  <c r="BC92" i="9"/>
  <c r="BB92" i="9"/>
  <c r="AZ92" i="9"/>
  <c r="BA92" i="9" s="1"/>
  <c r="AY92" i="9"/>
  <c r="AX92" i="9"/>
  <c r="AW92" i="9"/>
  <c r="AU92" i="9"/>
  <c r="BH91" i="9"/>
  <c r="BI91" i="9" s="1"/>
  <c r="BG91" i="9"/>
  <c r="BF91" i="9"/>
  <c r="BE91" i="9"/>
  <c r="BD91" i="9"/>
  <c r="BC91" i="9"/>
  <c r="BB91" i="9"/>
  <c r="AZ91" i="9"/>
  <c r="BA91" i="9" s="1"/>
  <c r="AY91" i="9"/>
  <c r="AX91" i="9"/>
  <c r="AW91" i="9"/>
  <c r="AU91" i="9"/>
  <c r="BH90" i="9"/>
  <c r="BI90" i="9" s="1"/>
  <c r="BG90" i="9"/>
  <c r="BF90" i="9"/>
  <c r="BE90" i="9"/>
  <c r="BD90" i="9"/>
  <c r="BC90" i="9"/>
  <c r="BB90" i="9"/>
  <c r="AZ90" i="9"/>
  <c r="BA90" i="9" s="1"/>
  <c r="AY90" i="9"/>
  <c r="AX90" i="9"/>
  <c r="AW90" i="9"/>
  <c r="AU90" i="9"/>
  <c r="BH89" i="9"/>
  <c r="BI89" i="9" s="1"/>
  <c r="BG89" i="9"/>
  <c r="BF89" i="9"/>
  <c r="BE89" i="9"/>
  <c r="BD89" i="9"/>
  <c r="BC89" i="9"/>
  <c r="BB89" i="9"/>
  <c r="AZ89" i="9"/>
  <c r="BA89" i="9" s="1"/>
  <c r="AY89" i="9"/>
  <c r="AX89" i="9"/>
  <c r="AW89" i="9"/>
  <c r="AU89" i="9"/>
  <c r="BH88" i="9"/>
  <c r="BI88" i="9" s="1"/>
  <c r="BG88" i="9"/>
  <c r="BF88" i="9"/>
  <c r="BE88" i="9"/>
  <c r="BD88" i="9"/>
  <c r="BC88" i="9"/>
  <c r="BB88" i="9"/>
  <c r="AZ88" i="9"/>
  <c r="BA88" i="9" s="1"/>
  <c r="AY88" i="9"/>
  <c r="AX88" i="9"/>
  <c r="AW88" i="9"/>
  <c r="AU88" i="9"/>
  <c r="BH87" i="9"/>
  <c r="BI87" i="9" s="1"/>
  <c r="BG87" i="9"/>
  <c r="BF87" i="9"/>
  <c r="BE87" i="9"/>
  <c r="BD87" i="9"/>
  <c r="BC87" i="9"/>
  <c r="BB87" i="9"/>
  <c r="AZ87" i="9"/>
  <c r="BA87" i="9" s="1"/>
  <c r="AY87" i="9"/>
  <c r="AX87" i="9"/>
  <c r="AW87" i="9"/>
  <c r="AU87" i="9"/>
  <c r="BH86" i="9"/>
  <c r="BI86" i="9" s="1"/>
  <c r="BG86" i="9"/>
  <c r="BF86" i="9"/>
  <c r="BE86" i="9"/>
  <c r="BD86" i="9"/>
  <c r="BC86" i="9"/>
  <c r="BB86" i="9"/>
  <c r="AZ86" i="9"/>
  <c r="BA86" i="9" s="1"/>
  <c r="AY86" i="9"/>
  <c r="AX86" i="9"/>
  <c r="AW86" i="9"/>
  <c r="AU86" i="9"/>
  <c r="BH85" i="9"/>
  <c r="BI85" i="9" s="1"/>
  <c r="BG85" i="9"/>
  <c r="BF85" i="9"/>
  <c r="BE85" i="9"/>
  <c r="BD85" i="9"/>
  <c r="BC85" i="9"/>
  <c r="BB85" i="9"/>
  <c r="AZ85" i="9"/>
  <c r="BA85" i="9" s="1"/>
  <c r="AY85" i="9"/>
  <c r="AX85" i="9"/>
  <c r="AW85" i="9"/>
  <c r="AU85" i="9"/>
  <c r="BH84" i="9"/>
  <c r="BI84" i="9" s="1"/>
  <c r="BG84" i="9"/>
  <c r="BF84" i="9"/>
  <c r="BE84" i="9"/>
  <c r="BD84" i="9"/>
  <c r="BC84" i="9"/>
  <c r="BB84" i="9"/>
  <c r="AZ84" i="9"/>
  <c r="BA84" i="9" s="1"/>
  <c r="AY84" i="9"/>
  <c r="AX84" i="9"/>
  <c r="AW84" i="9"/>
  <c r="AU84" i="9"/>
  <c r="BH83" i="9"/>
  <c r="BI83" i="9" s="1"/>
  <c r="BG83" i="9"/>
  <c r="BF83" i="9"/>
  <c r="BE83" i="9"/>
  <c r="BD83" i="9"/>
  <c r="BC83" i="9"/>
  <c r="BB83" i="9"/>
  <c r="AZ83" i="9"/>
  <c r="BA83" i="9" s="1"/>
  <c r="AY83" i="9"/>
  <c r="AX83" i="9"/>
  <c r="AW83" i="9"/>
  <c r="AU83" i="9"/>
  <c r="BH82" i="9"/>
  <c r="BI82" i="9" s="1"/>
  <c r="BG82" i="9"/>
  <c r="BF82" i="9"/>
  <c r="BE82" i="9"/>
  <c r="BD82" i="9"/>
  <c r="BC82" i="9"/>
  <c r="BB82" i="9"/>
  <c r="AZ82" i="9"/>
  <c r="BA82" i="9" s="1"/>
  <c r="AY82" i="9"/>
  <c r="AX82" i="9"/>
  <c r="AW82" i="9"/>
  <c r="AU82" i="9"/>
  <c r="BH81" i="9"/>
  <c r="BI81" i="9" s="1"/>
  <c r="BG81" i="9"/>
  <c r="BF81" i="9"/>
  <c r="BE81" i="9"/>
  <c r="BD81" i="9"/>
  <c r="BC81" i="9"/>
  <c r="BB81" i="9"/>
  <c r="AZ81" i="9"/>
  <c r="BA81" i="9" s="1"/>
  <c r="AY81" i="9"/>
  <c r="AX81" i="9"/>
  <c r="AW81" i="9"/>
  <c r="AU81" i="9"/>
  <c r="BH80" i="9"/>
  <c r="BI80" i="9" s="1"/>
  <c r="BG80" i="9"/>
  <c r="BF80" i="9"/>
  <c r="BE80" i="9"/>
  <c r="BD80" i="9"/>
  <c r="BC80" i="9"/>
  <c r="BB80" i="9"/>
  <c r="AZ80" i="9"/>
  <c r="BA80" i="9" s="1"/>
  <c r="AY80" i="9"/>
  <c r="AX80" i="9"/>
  <c r="AW80" i="9"/>
  <c r="AU80" i="9"/>
  <c r="BH79" i="9"/>
  <c r="BI79" i="9" s="1"/>
  <c r="BG79" i="9"/>
  <c r="BF79" i="9"/>
  <c r="BE79" i="9"/>
  <c r="BD79" i="9"/>
  <c r="BC79" i="9"/>
  <c r="BB79" i="9"/>
  <c r="AZ79" i="9"/>
  <c r="BA79" i="9" s="1"/>
  <c r="AY79" i="9"/>
  <c r="AX79" i="9"/>
  <c r="AW79" i="9"/>
  <c r="AU79" i="9"/>
  <c r="BH78" i="9"/>
  <c r="BI78" i="9" s="1"/>
  <c r="BG78" i="9"/>
  <c r="BF78" i="9"/>
  <c r="BE78" i="9"/>
  <c r="BD78" i="9"/>
  <c r="BC78" i="9"/>
  <c r="BB78" i="9"/>
  <c r="AZ78" i="9"/>
  <c r="BA78" i="9" s="1"/>
  <c r="AY78" i="9"/>
  <c r="AX78" i="9"/>
  <c r="AW78" i="9"/>
  <c r="AU78" i="9"/>
  <c r="BH77" i="9"/>
  <c r="BI77" i="9" s="1"/>
  <c r="BG77" i="9"/>
  <c r="BF77" i="9"/>
  <c r="BE77" i="9"/>
  <c r="BD77" i="9"/>
  <c r="BC77" i="9"/>
  <c r="BB77" i="9"/>
  <c r="AZ77" i="9"/>
  <c r="BA77" i="9" s="1"/>
  <c r="AY77" i="9"/>
  <c r="AX77" i="9"/>
  <c r="AW77" i="9"/>
  <c r="AU77" i="9"/>
  <c r="BH76" i="9"/>
  <c r="BI76" i="9" s="1"/>
  <c r="BG76" i="9"/>
  <c r="BF76" i="9"/>
  <c r="BE76" i="9"/>
  <c r="BD76" i="9"/>
  <c r="BC76" i="9"/>
  <c r="BB76" i="9"/>
  <c r="AZ76" i="9"/>
  <c r="BA76" i="9" s="1"/>
  <c r="AY76" i="9"/>
  <c r="AX76" i="9"/>
  <c r="AW76" i="9"/>
  <c r="AU76" i="9"/>
  <c r="BH75" i="9"/>
  <c r="BI75" i="9" s="1"/>
  <c r="BG75" i="9"/>
  <c r="BF75" i="9"/>
  <c r="BE75" i="9"/>
  <c r="BD75" i="9"/>
  <c r="BC75" i="9"/>
  <c r="BB75" i="9"/>
  <c r="AZ75" i="9"/>
  <c r="BA75" i="9" s="1"/>
  <c r="AY75" i="9"/>
  <c r="AX75" i="9"/>
  <c r="AW75" i="9"/>
  <c r="AU75" i="9"/>
  <c r="BH74" i="9"/>
  <c r="BI74" i="9" s="1"/>
  <c r="BG74" i="9"/>
  <c r="BF74" i="9"/>
  <c r="BE74" i="9"/>
  <c r="BD74" i="9"/>
  <c r="BC74" i="9"/>
  <c r="BB74" i="9"/>
  <c r="AZ74" i="9"/>
  <c r="BA74" i="9" s="1"/>
  <c r="AY74" i="9"/>
  <c r="AX74" i="9"/>
  <c r="AW74" i="9"/>
  <c r="AU74" i="9"/>
  <c r="BH73" i="9"/>
  <c r="BI73" i="9" s="1"/>
  <c r="BG73" i="9"/>
  <c r="BF73" i="9"/>
  <c r="BE73" i="9"/>
  <c r="BD73" i="9"/>
  <c r="BC73" i="9"/>
  <c r="BB73" i="9"/>
  <c r="AZ73" i="9"/>
  <c r="BA73" i="9" s="1"/>
  <c r="AY73" i="9"/>
  <c r="AX73" i="9"/>
  <c r="AW73" i="9"/>
  <c r="AU73" i="9"/>
  <c r="BH72" i="9"/>
  <c r="BI72" i="9" s="1"/>
  <c r="BG72" i="9"/>
  <c r="BF72" i="9"/>
  <c r="BE72" i="9"/>
  <c r="BD72" i="9"/>
  <c r="BC72" i="9"/>
  <c r="BB72" i="9"/>
  <c r="AZ72" i="9"/>
  <c r="BA72" i="9" s="1"/>
  <c r="AY72" i="9"/>
  <c r="AX72" i="9"/>
  <c r="AW72" i="9"/>
  <c r="AU72" i="9"/>
  <c r="BH71" i="9"/>
  <c r="BI71" i="9" s="1"/>
  <c r="BG71" i="9"/>
  <c r="BF71" i="9"/>
  <c r="BE71" i="9"/>
  <c r="BD71" i="9"/>
  <c r="BC71" i="9"/>
  <c r="BB71" i="9"/>
  <c r="AZ71" i="9"/>
  <c r="BA71" i="9" s="1"/>
  <c r="AY71" i="9"/>
  <c r="AX71" i="9"/>
  <c r="AW71" i="9"/>
  <c r="AU71" i="9"/>
  <c r="BH70" i="9"/>
  <c r="BI70" i="9" s="1"/>
  <c r="BG70" i="9"/>
  <c r="BF70" i="9"/>
  <c r="BE70" i="9"/>
  <c r="BD70" i="9"/>
  <c r="BC70" i="9"/>
  <c r="BB70" i="9"/>
  <c r="AZ70" i="9"/>
  <c r="BA70" i="9" s="1"/>
  <c r="AY70" i="9"/>
  <c r="AX70" i="9"/>
  <c r="AW70" i="9"/>
  <c r="AU70" i="9"/>
  <c r="BH69" i="9"/>
  <c r="BI69" i="9" s="1"/>
  <c r="BG69" i="9"/>
  <c r="BF69" i="9"/>
  <c r="BE69" i="9"/>
  <c r="BD69" i="9"/>
  <c r="BC69" i="9"/>
  <c r="BB69" i="9"/>
  <c r="AZ69" i="9"/>
  <c r="BA69" i="9" s="1"/>
  <c r="AY69" i="9"/>
  <c r="AX69" i="9"/>
  <c r="AW69" i="9"/>
  <c r="AU69" i="9"/>
  <c r="BH68" i="9"/>
  <c r="BI68" i="9" s="1"/>
  <c r="BG68" i="9"/>
  <c r="BF68" i="9"/>
  <c r="BE68" i="9"/>
  <c r="BD68" i="9"/>
  <c r="BC68" i="9"/>
  <c r="BB68" i="9"/>
  <c r="AZ68" i="9"/>
  <c r="BA68" i="9" s="1"/>
  <c r="AY68" i="9"/>
  <c r="AX68" i="9"/>
  <c r="AW68" i="9"/>
  <c r="AU68" i="9"/>
  <c r="BH67" i="9"/>
  <c r="BI67" i="9" s="1"/>
  <c r="BG67" i="9"/>
  <c r="BF67" i="9"/>
  <c r="BE67" i="9"/>
  <c r="BD67" i="9"/>
  <c r="BC67" i="9"/>
  <c r="BB67" i="9"/>
  <c r="AZ67" i="9"/>
  <c r="BA67" i="9" s="1"/>
  <c r="AY67" i="9"/>
  <c r="AX67" i="9"/>
  <c r="AW67" i="9"/>
  <c r="AU67" i="9"/>
  <c r="BH66" i="9"/>
  <c r="BI66" i="9" s="1"/>
  <c r="BG66" i="9"/>
  <c r="BF66" i="9"/>
  <c r="BE66" i="9"/>
  <c r="BD66" i="9"/>
  <c r="BC66" i="9"/>
  <c r="BB66" i="9"/>
  <c r="AZ66" i="9"/>
  <c r="BA66" i="9" s="1"/>
  <c r="AY66" i="9"/>
  <c r="AX66" i="9"/>
  <c r="AW66" i="9"/>
  <c r="AU66" i="9"/>
  <c r="BH65" i="9"/>
  <c r="BI65" i="9" s="1"/>
  <c r="BG65" i="9"/>
  <c r="BF65" i="9"/>
  <c r="BE65" i="9"/>
  <c r="BD65" i="9"/>
  <c r="BC65" i="9"/>
  <c r="BB65" i="9"/>
  <c r="AZ65" i="9"/>
  <c r="BA65" i="9" s="1"/>
  <c r="AY65" i="9"/>
  <c r="AX65" i="9"/>
  <c r="AW65" i="9"/>
  <c r="AU65" i="9"/>
  <c r="BH64" i="9"/>
  <c r="BI64" i="9" s="1"/>
  <c r="BG64" i="9"/>
  <c r="BF64" i="9"/>
  <c r="BE64" i="9"/>
  <c r="BD64" i="9"/>
  <c r="BC64" i="9"/>
  <c r="BB64" i="9"/>
  <c r="AZ64" i="9"/>
  <c r="BA64" i="9" s="1"/>
  <c r="AY64" i="9"/>
  <c r="AX64" i="9"/>
  <c r="AW64" i="9"/>
  <c r="AU64" i="9"/>
  <c r="BH63" i="9"/>
  <c r="BI63" i="9" s="1"/>
  <c r="BG63" i="9"/>
  <c r="BF63" i="9"/>
  <c r="BE63" i="9"/>
  <c r="BD63" i="9"/>
  <c r="BC63" i="9"/>
  <c r="BB63" i="9"/>
  <c r="AZ63" i="9"/>
  <c r="BA63" i="9" s="1"/>
  <c r="AY63" i="9"/>
  <c r="AX63" i="9"/>
  <c r="AW63" i="9"/>
  <c r="AU63" i="9"/>
  <c r="BH62" i="9"/>
  <c r="BI62" i="9" s="1"/>
  <c r="BG62" i="9"/>
  <c r="BF62" i="9"/>
  <c r="BE62" i="9"/>
  <c r="BD62" i="9"/>
  <c r="BC62" i="9"/>
  <c r="BB62" i="9"/>
  <c r="AZ62" i="9"/>
  <c r="BA62" i="9" s="1"/>
  <c r="AY62" i="9"/>
  <c r="AX62" i="9"/>
  <c r="AW62" i="9"/>
  <c r="AU62" i="9"/>
  <c r="BH61" i="9"/>
  <c r="BI61" i="9" s="1"/>
  <c r="BG61" i="9"/>
  <c r="BF61" i="9"/>
  <c r="BE61" i="9"/>
  <c r="BD61" i="9"/>
  <c r="BC61" i="9"/>
  <c r="BB61" i="9"/>
  <c r="AZ61" i="9"/>
  <c r="BA61" i="9" s="1"/>
  <c r="AY61" i="9"/>
  <c r="AX61" i="9"/>
  <c r="AW61" i="9"/>
  <c r="AU61" i="9"/>
  <c r="BH60" i="9"/>
  <c r="BI60" i="9" s="1"/>
  <c r="BG60" i="9"/>
  <c r="BF60" i="9"/>
  <c r="BE60" i="9"/>
  <c r="BD60" i="9"/>
  <c r="BC60" i="9"/>
  <c r="BB60" i="9"/>
  <c r="AZ60" i="9"/>
  <c r="BA60" i="9" s="1"/>
  <c r="AY60" i="9"/>
  <c r="AX60" i="9"/>
  <c r="AW60" i="9"/>
  <c r="AU60" i="9"/>
  <c r="BH59" i="9"/>
  <c r="BI59" i="9" s="1"/>
  <c r="BG59" i="9"/>
  <c r="BF59" i="9"/>
  <c r="BE59" i="9"/>
  <c r="BD59" i="9"/>
  <c r="BC59" i="9"/>
  <c r="BB59" i="9"/>
  <c r="AZ59" i="9"/>
  <c r="BA59" i="9" s="1"/>
  <c r="AY59" i="9"/>
  <c r="AX59" i="9"/>
  <c r="AW59" i="9"/>
  <c r="AU59" i="9"/>
  <c r="BH58" i="9"/>
  <c r="BI58" i="9" s="1"/>
  <c r="BG58" i="9"/>
  <c r="BF58" i="9"/>
  <c r="BE58" i="9"/>
  <c r="BD58" i="9"/>
  <c r="BC58" i="9"/>
  <c r="BB58" i="9"/>
  <c r="AZ58" i="9"/>
  <c r="BA58" i="9" s="1"/>
  <c r="AY58" i="9"/>
  <c r="AX58" i="9"/>
  <c r="AW58" i="9"/>
  <c r="AU58" i="9"/>
  <c r="BH57" i="9"/>
  <c r="BI57" i="9" s="1"/>
  <c r="BG57" i="9"/>
  <c r="BF57" i="9"/>
  <c r="BE57" i="9"/>
  <c r="BD57" i="9"/>
  <c r="BC57" i="9"/>
  <c r="BB57" i="9"/>
  <c r="AZ57" i="9"/>
  <c r="BA57" i="9" s="1"/>
  <c r="AY57" i="9"/>
  <c r="AX57" i="9"/>
  <c r="AW57" i="9"/>
  <c r="AU57" i="9"/>
  <c r="BH56" i="9"/>
  <c r="BI56" i="9" s="1"/>
  <c r="BG56" i="9"/>
  <c r="BF56" i="9"/>
  <c r="BE56" i="9"/>
  <c r="BD56" i="9"/>
  <c r="BC56" i="9"/>
  <c r="BB56" i="9"/>
  <c r="AZ56" i="9"/>
  <c r="BA56" i="9" s="1"/>
  <c r="AY56" i="9"/>
  <c r="AX56" i="9"/>
  <c r="AW56" i="9"/>
  <c r="AU56" i="9"/>
  <c r="BH55" i="9"/>
  <c r="BI55" i="9" s="1"/>
  <c r="BG55" i="9"/>
  <c r="BF55" i="9"/>
  <c r="BE55" i="9"/>
  <c r="BD55" i="9"/>
  <c r="BC55" i="9"/>
  <c r="BB55" i="9"/>
  <c r="AZ55" i="9"/>
  <c r="BA55" i="9" s="1"/>
  <c r="AY55" i="9"/>
  <c r="AX55" i="9"/>
  <c r="AW55" i="9"/>
  <c r="AU55" i="9"/>
  <c r="BH54" i="9"/>
  <c r="BI54" i="9" s="1"/>
  <c r="BG54" i="9"/>
  <c r="BF54" i="9"/>
  <c r="BE54" i="9"/>
  <c r="BD54" i="9"/>
  <c r="BC54" i="9"/>
  <c r="BB54" i="9"/>
  <c r="AZ54" i="9"/>
  <c r="BA54" i="9" s="1"/>
  <c r="AY54" i="9"/>
  <c r="AX54" i="9"/>
  <c r="AW54" i="9"/>
  <c r="AU54" i="9"/>
  <c r="BH53" i="9"/>
  <c r="BI53" i="9" s="1"/>
  <c r="BG53" i="9"/>
  <c r="BF53" i="9"/>
  <c r="BE53" i="9"/>
  <c r="BD53" i="9"/>
  <c r="BC53" i="9"/>
  <c r="BB53" i="9"/>
  <c r="AZ53" i="9"/>
  <c r="BA53" i="9" s="1"/>
  <c r="AY53" i="9"/>
  <c r="AX53" i="9"/>
  <c r="AW53" i="9"/>
  <c r="AU53" i="9"/>
  <c r="BH52" i="9"/>
  <c r="BI52" i="9" s="1"/>
  <c r="BG52" i="9"/>
  <c r="BF52" i="9"/>
  <c r="BE52" i="9"/>
  <c r="BD52" i="9"/>
  <c r="BC52" i="9"/>
  <c r="BB52" i="9"/>
  <c r="AZ52" i="9"/>
  <c r="BA52" i="9" s="1"/>
  <c r="AY52" i="9"/>
  <c r="AX52" i="9"/>
  <c r="AW52" i="9"/>
  <c r="AU52" i="9"/>
  <c r="BH51" i="9"/>
  <c r="BI51" i="9" s="1"/>
  <c r="BG51" i="9"/>
  <c r="BF51" i="9"/>
  <c r="BE51" i="9"/>
  <c r="BD51" i="9"/>
  <c r="BC51" i="9"/>
  <c r="BB51" i="9"/>
  <c r="AZ51" i="9"/>
  <c r="BA51" i="9" s="1"/>
  <c r="AY51" i="9"/>
  <c r="AX51" i="9"/>
  <c r="AW51" i="9"/>
  <c r="AU51" i="9"/>
  <c r="BH50" i="9"/>
  <c r="BI50" i="9" s="1"/>
  <c r="BG50" i="9"/>
  <c r="BF50" i="9"/>
  <c r="BE50" i="9"/>
  <c r="BD50" i="9"/>
  <c r="BC50" i="9"/>
  <c r="BB50" i="9"/>
  <c r="AZ50" i="9"/>
  <c r="BA50" i="9" s="1"/>
  <c r="AY50" i="9"/>
  <c r="AX50" i="9"/>
  <c r="AW50" i="9"/>
  <c r="AU50" i="9"/>
  <c r="BH49" i="9"/>
  <c r="BI49" i="9" s="1"/>
  <c r="BG49" i="9"/>
  <c r="BF49" i="9"/>
  <c r="BE49" i="9"/>
  <c r="BD49" i="9"/>
  <c r="BC49" i="9"/>
  <c r="BB49" i="9"/>
  <c r="AZ49" i="9"/>
  <c r="BA49" i="9" s="1"/>
  <c r="AY49" i="9"/>
  <c r="AX49" i="9"/>
  <c r="AW49" i="9"/>
  <c r="AU49" i="9"/>
  <c r="BH48" i="9"/>
  <c r="BI48" i="9" s="1"/>
  <c r="BG48" i="9"/>
  <c r="BF48" i="9"/>
  <c r="BE48" i="9"/>
  <c r="BD48" i="9"/>
  <c r="BC48" i="9"/>
  <c r="BB48" i="9"/>
  <c r="AZ48" i="9"/>
  <c r="BA48" i="9" s="1"/>
  <c r="AY48" i="9"/>
  <c r="AX48" i="9"/>
  <c r="AW48" i="9"/>
  <c r="AU48" i="9"/>
  <c r="BH47" i="9"/>
  <c r="BI47" i="9" s="1"/>
  <c r="BG47" i="9"/>
  <c r="BF47" i="9"/>
  <c r="BE47" i="9"/>
  <c r="BD47" i="9"/>
  <c r="BC47" i="9"/>
  <c r="BB47" i="9"/>
  <c r="AZ47" i="9"/>
  <c r="BA47" i="9" s="1"/>
  <c r="AY47" i="9"/>
  <c r="AX47" i="9"/>
  <c r="AW47" i="9"/>
  <c r="AU47" i="9"/>
  <c r="BH46" i="9"/>
  <c r="BI46" i="9" s="1"/>
  <c r="BG46" i="9"/>
  <c r="BF46" i="9"/>
  <c r="BE46" i="9"/>
  <c r="BD46" i="9"/>
  <c r="BC46" i="9"/>
  <c r="BB46" i="9"/>
  <c r="AZ46" i="9"/>
  <c r="BA46" i="9" s="1"/>
  <c r="AY46" i="9"/>
  <c r="AX46" i="9"/>
  <c r="AW46" i="9"/>
  <c r="AU46" i="9"/>
  <c r="BH45" i="9"/>
  <c r="BI45" i="9" s="1"/>
  <c r="BG45" i="9"/>
  <c r="BF45" i="9"/>
  <c r="BE45" i="9"/>
  <c r="BD45" i="9"/>
  <c r="BC45" i="9"/>
  <c r="BB45" i="9"/>
  <c r="AZ45" i="9"/>
  <c r="BA45" i="9" s="1"/>
  <c r="AY45" i="9"/>
  <c r="AX45" i="9"/>
  <c r="AW45" i="9"/>
  <c r="AU45" i="9"/>
  <c r="BH44" i="9"/>
  <c r="BI44" i="9" s="1"/>
  <c r="BG44" i="9"/>
  <c r="BF44" i="9"/>
  <c r="BE44" i="9"/>
  <c r="BD44" i="9"/>
  <c r="BC44" i="9"/>
  <c r="BB44" i="9"/>
  <c r="AZ44" i="9"/>
  <c r="BA44" i="9" s="1"/>
  <c r="AY44" i="9"/>
  <c r="AX44" i="9"/>
  <c r="AW44" i="9"/>
  <c r="AU44" i="9"/>
  <c r="BH43" i="9"/>
  <c r="BI43" i="9" s="1"/>
  <c r="BG43" i="9"/>
  <c r="BF43" i="9"/>
  <c r="BE43" i="9"/>
  <c r="BD43" i="9"/>
  <c r="BC43" i="9"/>
  <c r="BB43" i="9"/>
  <c r="AZ43" i="9"/>
  <c r="BA43" i="9" s="1"/>
  <c r="AY43" i="9"/>
  <c r="AX43" i="9"/>
  <c r="AW43" i="9"/>
  <c r="AU43" i="9"/>
  <c r="BH42" i="9"/>
  <c r="BI42" i="9" s="1"/>
  <c r="BG42" i="9"/>
  <c r="BF42" i="9"/>
  <c r="BE42" i="9"/>
  <c r="BD42" i="9"/>
  <c r="BC42" i="9"/>
  <c r="BB42" i="9"/>
  <c r="AZ42" i="9"/>
  <c r="BA42" i="9" s="1"/>
  <c r="AY42" i="9"/>
  <c r="AX42" i="9"/>
  <c r="AW42" i="9"/>
  <c r="AU42" i="9"/>
  <c r="BH41" i="9"/>
  <c r="BI41" i="9" s="1"/>
  <c r="BG41" i="9"/>
  <c r="BF41" i="9"/>
  <c r="BE41" i="9"/>
  <c r="BD41" i="9"/>
  <c r="BC41" i="9"/>
  <c r="BB41" i="9"/>
  <c r="AZ41" i="9"/>
  <c r="BA41" i="9" s="1"/>
  <c r="AY41" i="9"/>
  <c r="AX41" i="9"/>
  <c r="AW41" i="9"/>
  <c r="AU41" i="9"/>
  <c r="BH40" i="9"/>
  <c r="BI40" i="9" s="1"/>
  <c r="BG40" i="9"/>
  <c r="BF40" i="9"/>
  <c r="BE40" i="9"/>
  <c r="BD40" i="9"/>
  <c r="BC40" i="9"/>
  <c r="BB40" i="9"/>
  <c r="AZ40" i="9"/>
  <c r="BA40" i="9" s="1"/>
  <c r="AY40" i="9"/>
  <c r="AX40" i="9"/>
  <c r="AW40" i="9"/>
  <c r="AU40" i="9"/>
  <c r="BH39" i="9"/>
  <c r="BI39" i="9" s="1"/>
  <c r="BG39" i="9"/>
  <c r="BF39" i="9"/>
  <c r="BE39" i="9"/>
  <c r="BD39" i="9"/>
  <c r="BC39" i="9"/>
  <c r="BB39" i="9"/>
  <c r="AZ39" i="9"/>
  <c r="BA39" i="9" s="1"/>
  <c r="AY39" i="9"/>
  <c r="AX39" i="9"/>
  <c r="AW39" i="9"/>
  <c r="AU39" i="9"/>
  <c r="BH38" i="9"/>
  <c r="BI38" i="9" s="1"/>
  <c r="BG38" i="9"/>
  <c r="BF38" i="9"/>
  <c r="BE38" i="9"/>
  <c r="BD38" i="9"/>
  <c r="BC38" i="9"/>
  <c r="BB38" i="9"/>
  <c r="AZ38" i="9"/>
  <c r="BA38" i="9" s="1"/>
  <c r="AY38" i="9"/>
  <c r="AX38" i="9"/>
  <c r="AW38" i="9"/>
  <c r="AU38" i="9"/>
  <c r="BH37" i="9"/>
  <c r="BI37" i="9" s="1"/>
  <c r="BG37" i="9"/>
  <c r="BF37" i="9"/>
  <c r="BE37" i="9"/>
  <c r="BD37" i="9"/>
  <c r="BC37" i="9"/>
  <c r="BB37" i="9"/>
  <c r="AZ37" i="9"/>
  <c r="BA37" i="9" s="1"/>
  <c r="AY37" i="9"/>
  <c r="AX37" i="9"/>
  <c r="AW37" i="9"/>
  <c r="AU37" i="9"/>
  <c r="BJ37" i="9" s="1"/>
  <c r="BH11" i="9"/>
  <c r="BG11" i="9"/>
  <c r="BF11" i="9"/>
  <c r="BE11" i="9"/>
  <c r="BD11" i="9"/>
  <c r="BC11" i="9"/>
  <c r="BB11" i="9"/>
  <c r="AZ11" i="9"/>
  <c r="AY11" i="9"/>
  <c r="AX11" i="9"/>
  <c r="AW11" i="9"/>
  <c r="AU11" i="9"/>
  <c r="W8" i="9"/>
  <c r="V8" i="9"/>
  <c r="U8" i="9"/>
  <c r="H36" i="4" s="1"/>
  <c r="T8" i="9"/>
  <c r="H35" i="4" s="1"/>
  <c r="S8" i="9"/>
  <c r="G44" i="4" s="1"/>
  <c r="R8" i="9"/>
  <c r="Q8" i="9"/>
  <c r="P8" i="9"/>
  <c r="N8" i="9"/>
  <c r="H19" i="4" s="1"/>
  <c r="M8" i="9"/>
  <c r="L8" i="9"/>
  <c r="K8" i="9"/>
  <c r="G49" i="4" s="1"/>
  <c r="I8" i="9"/>
  <c r="H31" i="4" s="1"/>
  <c r="H8" i="9"/>
  <c r="C8" i="9"/>
  <c r="BJ40" i="9" l="1"/>
  <c r="BJ42" i="9"/>
  <c r="BJ44" i="9"/>
  <c r="BJ46" i="9"/>
  <c r="BJ39" i="9"/>
  <c r="BJ41" i="9"/>
  <c r="BJ43" i="9"/>
  <c r="BJ45" i="9"/>
  <c r="BJ47" i="9"/>
  <c r="BJ49" i="9"/>
  <c r="BJ51" i="9"/>
  <c r="BJ38" i="9"/>
  <c r="BJ48" i="9"/>
  <c r="BJ50" i="9"/>
  <c r="BJ11" i="9"/>
  <c r="AV47" i="9"/>
  <c r="AV49" i="9"/>
  <c r="AV55" i="9"/>
  <c r="BK55" i="9" s="1"/>
  <c r="AV59" i="9"/>
  <c r="BK59" i="9" s="1"/>
  <c r="AV63" i="9"/>
  <c r="AV67" i="9"/>
  <c r="AV73" i="9"/>
  <c r="BK73" i="9" s="1"/>
  <c r="AV77" i="9"/>
  <c r="AV83" i="9"/>
  <c r="AV85" i="9"/>
  <c r="AV87" i="9"/>
  <c r="AV89" i="9"/>
  <c r="BK89" i="9" s="1"/>
  <c r="AV93" i="9"/>
  <c r="AV95" i="9"/>
  <c r="AV97" i="9"/>
  <c r="BK97" i="9" s="1"/>
  <c r="AV101" i="9"/>
  <c r="BK101" i="9" s="1"/>
  <c r="AV105" i="9"/>
  <c r="AV107" i="9"/>
  <c r="AV51" i="9"/>
  <c r="BK51" i="9" s="1"/>
  <c r="AV53" i="9"/>
  <c r="BK53" i="9" s="1"/>
  <c r="AV57" i="9"/>
  <c r="AV61" i="9"/>
  <c r="AV65" i="9"/>
  <c r="AV69" i="9"/>
  <c r="BK69" i="9" s="1"/>
  <c r="AV71" i="9"/>
  <c r="AV75" i="9"/>
  <c r="AV79" i="9"/>
  <c r="AV81" i="9"/>
  <c r="BK81" i="9" s="1"/>
  <c r="AV91" i="9"/>
  <c r="AV99" i="9"/>
  <c r="AV103" i="9"/>
  <c r="BK103" i="9" s="1"/>
  <c r="AV109" i="9"/>
  <c r="BK109" i="9" s="1"/>
  <c r="AV66" i="9"/>
  <c r="AV70" i="9"/>
  <c r="AV72" i="9"/>
  <c r="AV74" i="9"/>
  <c r="BK74" i="9" s="1"/>
  <c r="AV76" i="9"/>
  <c r="AV78" i="9"/>
  <c r="AV80" i="9"/>
  <c r="BK80" i="9" s="1"/>
  <c r="AV82" i="9"/>
  <c r="BK82" i="9" s="1"/>
  <c r="AV84" i="9"/>
  <c r="AV86" i="9"/>
  <c r="AV88" i="9"/>
  <c r="BK88" i="9" s="1"/>
  <c r="AV90" i="9"/>
  <c r="BK90" i="9" s="1"/>
  <c r="AV92" i="9"/>
  <c r="AV94" i="9"/>
  <c r="AV96" i="9"/>
  <c r="BK96" i="9" s="1"/>
  <c r="AV98" i="9"/>
  <c r="BK98" i="9" s="1"/>
  <c r="AV100" i="9"/>
  <c r="AV102" i="9"/>
  <c r="AV104" i="9"/>
  <c r="BK104" i="9" s="1"/>
  <c r="AV106" i="9"/>
  <c r="BK106" i="9" s="1"/>
  <c r="AV108" i="9"/>
  <c r="AV110" i="9"/>
  <c r="AV45" i="9"/>
  <c r="BK45" i="9" s="1"/>
  <c r="AV48" i="9"/>
  <c r="BK48" i="9" s="1"/>
  <c r="AV52" i="9"/>
  <c r="AV56" i="9"/>
  <c r="BK56" i="9" s="1"/>
  <c r="AV58" i="9"/>
  <c r="AV60" i="9"/>
  <c r="BK60" i="9" s="1"/>
  <c r="AV64" i="9"/>
  <c r="AV68" i="9"/>
  <c r="BK68" i="9" s="1"/>
  <c r="AV44" i="9"/>
  <c r="BK44" i="9" s="1"/>
  <c r="AV46" i="9"/>
  <c r="AV50" i="9"/>
  <c r="AV54" i="9"/>
  <c r="BK54" i="9" s="1"/>
  <c r="AV62" i="9"/>
  <c r="BK62" i="9" s="1"/>
  <c r="AV38" i="9"/>
  <c r="AV40" i="9"/>
  <c r="BK40" i="9" s="1"/>
  <c r="AV42" i="9"/>
  <c r="BK42" i="9" s="1"/>
  <c r="AV37" i="9"/>
  <c r="BK37" i="9" s="1"/>
  <c r="AV39" i="9"/>
  <c r="BK39" i="9" s="1"/>
  <c r="AV41" i="9"/>
  <c r="BK41" i="9" s="1"/>
  <c r="AV43" i="9"/>
  <c r="BK43" i="9" s="1"/>
  <c r="AV11" i="9"/>
  <c r="D30" i="4"/>
  <c r="D22" i="4"/>
  <c r="D29" i="4"/>
  <c r="D21" i="4"/>
  <c r="D28" i="4"/>
  <c r="D20" i="4"/>
  <c r="D27" i="4"/>
  <c r="D26" i="4"/>
  <c r="D25" i="4"/>
  <c r="D31" i="4"/>
  <c r="D23" i="4"/>
  <c r="D24" i="4"/>
  <c r="G47" i="4"/>
  <c r="G48" i="4"/>
  <c r="AP109" i="9"/>
  <c r="AP105" i="9"/>
  <c r="AP101" i="9"/>
  <c r="AP97" i="9"/>
  <c r="AP93" i="9"/>
  <c r="AP89" i="9"/>
  <c r="AP85" i="9"/>
  <c r="AP81" i="9"/>
  <c r="AP77" i="9"/>
  <c r="AP73" i="9"/>
  <c r="AP69" i="9"/>
  <c r="AP65" i="9"/>
  <c r="AP61" i="9"/>
  <c r="AP57" i="9"/>
  <c r="AP53" i="9"/>
  <c r="AP49" i="9"/>
  <c r="AP45" i="9"/>
  <c r="AP41" i="9"/>
  <c r="AP37" i="9"/>
  <c r="AP108" i="9"/>
  <c r="AP104" i="9"/>
  <c r="AP100" i="9"/>
  <c r="AP96" i="9"/>
  <c r="AP92" i="9"/>
  <c r="AP88" i="9"/>
  <c r="AP84" i="9"/>
  <c r="AP80" i="9"/>
  <c r="AP76" i="9"/>
  <c r="AP72" i="9"/>
  <c r="AP68" i="9"/>
  <c r="AP64" i="9"/>
  <c r="AP60" i="9"/>
  <c r="AP56" i="9"/>
  <c r="AP52" i="9"/>
  <c r="AP48" i="9"/>
  <c r="AP44" i="9"/>
  <c r="AP40" i="9"/>
  <c r="AP107" i="9"/>
  <c r="AP103" i="9"/>
  <c r="AP99" i="9"/>
  <c r="AP95" i="9"/>
  <c r="AP91" i="9"/>
  <c r="AP87" i="9"/>
  <c r="AP83" i="9"/>
  <c r="AP79" i="9"/>
  <c r="AP75" i="9"/>
  <c r="AP71" i="9"/>
  <c r="AP67" i="9"/>
  <c r="AP63" i="9"/>
  <c r="AP59" i="9"/>
  <c r="AP55" i="9"/>
  <c r="AP51" i="9"/>
  <c r="AP47" i="9"/>
  <c r="AP43" i="9"/>
  <c r="AP39" i="9"/>
  <c r="AP11" i="9"/>
  <c r="AP110" i="9"/>
  <c r="AP106" i="9"/>
  <c r="AP102" i="9"/>
  <c r="AP98" i="9"/>
  <c r="AP94" i="9"/>
  <c r="AP90" i="9"/>
  <c r="AP86" i="9"/>
  <c r="AP82" i="9"/>
  <c r="AP78" i="9"/>
  <c r="AP74" i="9"/>
  <c r="AP70" i="9"/>
  <c r="AP66" i="9"/>
  <c r="AP62" i="9"/>
  <c r="AP58" i="9"/>
  <c r="AP54" i="9"/>
  <c r="AP50" i="9"/>
  <c r="AP46" i="9"/>
  <c r="AP42" i="9"/>
  <c r="AP38" i="9"/>
  <c r="BI11" i="9"/>
  <c r="BI6" i="9" s="1"/>
  <c r="D34" i="4"/>
  <c r="D33" i="4"/>
  <c r="D32" i="4"/>
  <c r="D35" i="4"/>
  <c r="BA11" i="9"/>
  <c r="D17" i="4"/>
  <c r="D9" i="4"/>
  <c r="D8" i="4"/>
  <c r="D16" i="4"/>
  <c r="D15" i="4"/>
  <c r="D7" i="4"/>
  <c r="D11" i="4"/>
  <c r="D14" i="4"/>
  <c r="D6" i="4"/>
  <c r="D13" i="4"/>
  <c r="D5" i="4"/>
  <c r="D19" i="4"/>
  <c r="D12" i="4"/>
  <c r="D4" i="4"/>
  <c r="D3" i="4"/>
  <c r="D18" i="4"/>
  <c r="D10" i="4"/>
  <c r="D2" i="4"/>
  <c r="AX6" i="9"/>
  <c r="BE6" i="9"/>
  <c r="AY6" i="9"/>
  <c r="BG6" i="9"/>
  <c r="BF6" i="9"/>
  <c r="BB6" i="9"/>
  <c r="AW6" i="9"/>
  <c r="BC6" i="9"/>
  <c r="AX7" i="9"/>
  <c r="BG7" i="9"/>
  <c r="BD7" i="9"/>
  <c r="H44" i="4" s="1"/>
  <c r="BK58" i="9"/>
  <c r="BC7" i="9"/>
  <c r="AY7" i="9"/>
  <c r="BE7" i="9"/>
  <c r="I36" i="4" s="1"/>
  <c r="BB7" i="9"/>
  <c r="BK83" i="9"/>
  <c r="BK38" i="9"/>
  <c r="BK63" i="9"/>
  <c r="BK70" i="9"/>
  <c r="BK95" i="9"/>
  <c r="BK102" i="9"/>
  <c r="BK75" i="9"/>
  <c r="BK94" i="9"/>
  <c r="BF7" i="9"/>
  <c r="BK67" i="9"/>
  <c r="BK72" i="9"/>
  <c r="BK99" i="9"/>
  <c r="AW7" i="9"/>
  <c r="H49" i="4" s="1"/>
  <c r="BK66" i="9"/>
  <c r="BK91" i="9"/>
  <c r="BK108" i="9"/>
  <c r="BK61" i="9"/>
  <c r="BK64" i="9"/>
  <c r="BK93" i="9"/>
  <c r="BK46" i="9"/>
  <c r="BK71" i="9"/>
  <c r="BK76" i="9"/>
  <c r="BK78" i="9"/>
  <c r="BK105" i="9"/>
  <c r="BK110" i="9"/>
  <c r="BK85" i="9"/>
  <c r="BK65" i="9"/>
  <c r="BK100" i="9"/>
  <c r="BK50" i="9"/>
  <c r="BK77" i="9"/>
  <c r="BK107" i="9"/>
  <c r="BK57" i="9"/>
  <c r="BK87" i="9"/>
  <c r="BK92" i="9"/>
  <c r="BD6" i="9"/>
  <c r="BK47" i="9"/>
  <c r="BK49" i="9"/>
  <c r="BK52" i="9"/>
  <c r="BK79" i="9"/>
  <c r="BK84" i="9"/>
  <c r="BK86" i="9"/>
  <c r="G36" i="4"/>
  <c r="BL98" i="9" l="1"/>
  <c r="BM98" i="9" s="1"/>
  <c r="AT98" i="9"/>
  <c r="AT69" i="9"/>
  <c r="BL69" i="9"/>
  <c r="BM69" i="9" s="1"/>
  <c r="BL77" i="9"/>
  <c r="BM77" i="9" s="1"/>
  <c r="AT77" i="9"/>
  <c r="AV6" i="9"/>
  <c r="AT54" i="9"/>
  <c r="BL54" i="9"/>
  <c r="BL45" i="9"/>
  <c r="BM45" i="9" s="1"/>
  <c r="AT45" i="9"/>
  <c r="BL104" i="9"/>
  <c r="AT104" i="9"/>
  <c r="BL96" i="9"/>
  <c r="BM96" i="9" s="1"/>
  <c r="AT96" i="9"/>
  <c r="BL88" i="9"/>
  <c r="BM88" i="9" s="1"/>
  <c r="AT88" i="9"/>
  <c r="BL80" i="9"/>
  <c r="AT80" i="9"/>
  <c r="AT72" i="9"/>
  <c r="BL72" i="9"/>
  <c r="BM72" i="9" s="1"/>
  <c r="AT103" i="9"/>
  <c r="BL103" i="9"/>
  <c r="BM103" i="9" s="1"/>
  <c r="AT79" i="9"/>
  <c r="BL79" i="9"/>
  <c r="BL65" i="9"/>
  <c r="AT65" i="9"/>
  <c r="BL51" i="9"/>
  <c r="BM51" i="9" s="1"/>
  <c r="AT51" i="9"/>
  <c r="AT97" i="9"/>
  <c r="BL97" i="9"/>
  <c r="BM97" i="9" s="1"/>
  <c r="BL87" i="9"/>
  <c r="BM87" i="9" s="1"/>
  <c r="AT87" i="9"/>
  <c r="BL73" i="9"/>
  <c r="BM73" i="9" s="1"/>
  <c r="AT73" i="9"/>
  <c r="AT55" i="9"/>
  <c r="BL55" i="9"/>
  <c r="BM55" i="9" s="1"/>
  <c r="BL82" i="9"/>
  <c r="BM82" i="9" s="1"/>
  <c r="AT82" i="9"/>
  <c r="BL58" i="9"/>
  <c r="BM58" i="9" s="1"/>
  <c r="AT58" i="9"/>
  <c r="BM79" i="9"/>
  <c r="BM80" i="9"/>
  <c r="BM104" i="9"/>
  <c r="AT68" i="9"/>
  <c r="BL68" i="9"/>
  <c r="BM68" i="9" s="1"/>
  <c r="BL56" i="9"/>
  <c r="BM56" i="9" s="1"/>
  <c r="AT56" i="9"/>
  <c r="BL109" i="9"/>
  <c r="BM109" i="9" s="1"/>
  <c r="AT109" i="9"/>
  <c r="AT89" i="9"/>
  <c r="BL89" i="9"/>
  <c r="BM89" i="9" s="1"/>
  <c r="BM54" i="9"/>
  <c r="BM65" i="9"/>
  <c r="BL50" i="9"/>
  <c r="BM50" i="9" s="1"/>
  <c r="AT50" i="9"/>
  <c r="AT110" i="9"/>
  <c r="BL110" i="9"/>
  <c r="BM110" i="9" s="1"/>
  <c r="AT102" i="9"/>
  <c r="BL102" i="9"/>
  <c r="BM102" i="9" s="1"/>
  <c r="BL94" i="9"/>
  <c r="BM94" i="9" s="1"/>
  <c r="AT94" i="9"/>
  <c r="AT86" i="9"/>
  <c r="BL86" i="9"/>
  <c r="BM86" i="9" s="1"/>
  <c r="AT78" i="9"/>
  <c r="BL78" i="9"/>
  <c r="AT70" i="9"/>
  <c r="BL70" i="9"/>
  <c r="BM70" i="9" s="1"/>
  <c r="AT99" i="9"/>
  <c r="BL99" i="9"/>
  <c r="BM99" i="9" s="1"/>
  <c r="BL75" i="9"/>
  <c r="BM75" i="9" s="1"/>
  <c r="AT75" i="9"/>
  <c r="AT61" i="9"/>
  <c r="BL61" i="9"/>
  <c r="BM61" i="9" s="1"/>
  <c r="BL107" i="9"/>
  <c r="BM107" i="9" s="1"/>
  <c r="AT107" i="9"/>
  <c r="AT95" i="9"/>
  <c r="BL95" i="9"/>
  <c r="BM95" i="9" s="1"/>
  <c r="AT85" i="9"/>
  <c r="BL85" i="9"/>
  <c r="BM85" i="9" s="1"/>
  <c r="AT67" i="9"/>
  <c r="BL67" i="9"/>
  <c r="BL49" i="9"/>
  <c r="BM49" i="9" s="1"/>
  <c r="AT49" i="9"/>
  <c r="AT53" i="9"/>
  <c r="BL53" i="9"/>
  <c r="BM53" i="9" s="1"/>
  <c r="BL64" i="9"/>
  <c r="BM64" i="9" s="1"/>
  <c r="AT64" i="9"/>
  <c r="BL52" i="9"/>
  <c r="BM52" i="9" s="1"/>
  <c r="AT52" i="9"/>
  <c r="BL62" i="9"/>
  <c r="BM62" i="9" s="1"/>
  <c r="AT62" i="9"/>
  <c r="AT106" i="9"/>
  <c r="BL106" i="9"/>
  <c r="BM106" i="9" s="1"/>
  <c r="BL90" i="9"/>
  <c r="BM90" i="9" s="1"/>
  <c r="AT90" i="9"/>
  <c r="BL81" i="9"/>
  <c r="BM81" i="9" s="1"/>
  <c r="AT81" i="9"/>
  <c r="BL59" i="9"/>
  <c r="BM59" i="9" s="1"/>
  <c r="AT59" i="9"/>
  <c r="AT46" i="9"/>
  <c r="BL46" i="9"/>
  <c r="BM46" i="9" s="1"/>
  <c r="AT108" i="9"/>
  <c r="BL108" i="9"/>
  <c r="BM108" i="9" s="1"/>
  <c r="BL100" i="9"/>
  <c r="BM100" i="9" s="1"/>
  <c r="AT100" i="9"/>
  <c r="AT92" i="9"/>
  <c r="BL92" i="9"/>
  <c r="BM92" i="9" s="1"/>
  <c r="AT84" i="9"/>
  <c r="BL84" i="9"/>
  <c r="BM84" i="9" s="1"/>
  <c r="AT76" i="9"/>
  <c r="BL76" i="9"/>
  <c r="BM76" i="9" s="1"/>
  <c r="AT66" i="9"/>
  <c r="BL66" i="9"/>
  <c r="BM66" i="9" s="1"/>
  <c r="BL91" i="9"/>
  <c r="BM91" i="9" s="1"/>
  <c r="AT91" i="9"/>
  <c r="AT71" i="9"/>
  <c r="BL71" i="9"/>
  <c r="BM71" i="9" s="1"/>
  <c r="BL57" i="9"/>
  <c r="BM57" i="9" s="1"/>
  <c r="AT57" i="9"/>
  <c r="BL105" i="9"/>
  <c r="BM105" i="9" s="1"/>
  <c r="AT105" i="9"/>
  <c r="AT93" i="9"/>
  <c r="BL93" i="9"/>
  <c r="BM93" i="9" s="1"/>
  <c r="BL83" i="9"/>
  <c r="BM83" i="9" s="1"/>
  <c r="AT83" i="9"/>
  <c r="AT63" i="9"/>
  <c r="BL63" i="9"/>
  <c r="BM63" i="9" s="1"/>
  <c r="BL47" i="9"/>
  <c r="BM47" i="9" s="1"/>
  <c r="AT47" i="9"/>
  <c r="AT44" i="9"/>
  <c r="BL44" i="9"/>
  <c r="BM44" i="9" s="1"/>
  <c r="AT74" i="9"/>
  <c r="BL74" i="9"/>
  <c r="BM74" i="9" s="1"/>
  <c r="AT101" i="9"/>
  <c r="BL101" i="9"/>
  <c r="BM101" i="9" s="1"/>
  <c r="BM67" i="9"/>
  <c r="BM78" i="9"/>
  <c r="AT60" i="9"/>
  <c r="BL60" i="9"/>
  <c r="BM60" i="9" s="1"/>
  <c r="BL48" i="9"/>
  <c r="BM48" i="9" s="1"/>
  <c r="AT48" i="9"/>
  <c r="AT39" i="9"/>
  <c r="BL39" i="9"/>
  <c r="BM39" i="9" s="1"/>
  <c r="BL42" i="9"/>
  <c r="BM42" i="9" s="1"/>
  <c r="AT42" i="9"/>
  <c r="AT37" i="9"/>
  <c r="BL37" i="9"/>
  <c r="BM37" i="9" s="1"/>
  <c r="AT40" i="9"/>
  <c r="BL40" i="9"/>
  <c r="BM40" i="9" s="1"/>
  <c r="BL43" i="9"/>
  <c r="BM43" i="9" s="1"/>
  <c r="AT43" i="9"/>
  <c r="AT38" i="9"/>
  <c r="BL38" i="9"/>
  <c r="BM38" i="9" s="1"/>
  <c r="BL41" i="9"/>
  <c r="BM41" i="9" s="1"/>
  <c r="AT41" i="9"/>
  <c r="BL11" i="9"/>
  <c r="AT11" i="9"/>
  <c r="BA7" i="9"/>
  <c r="I19" i="4" s="1"/>
  <c r="AV7" i="9"/>
  <c r="I31" i="4" s="1"/>
  <c r="BI7" i="9"/>
  <c r="I35" i="4" s="1"/>
  <c r="H47" i="4"/>
  <c r="H48" i="4"/>
  <c r="BK11" i="9"/>
  <c r="BA6" i="9"/>
  <c r="E36" i="4"/>
  <c r="E11" i="8" s="1"/>
  <c r="D44" i="4"/>
  <c r="D15" i="8" s="1"/>
  <c r="E43" i="4"/>
  <c r="E40" i="4"/>
  <c r="E42" i="4"/>
  <c r="E41" i="4"/>
  <c r="D16" i="8"/>
  <c r="D18" i="8"/>
  <c r="C54" i="4" l="1"/>
  <c r="D54" i="4" s="1"/>
  <c r="D58" i="4"/>
  <c r="D55" i="4"/>
  <c r="D57" i="4"/>
  <c r="D56" i="4"/>
  <c r="C53" i="4"/>
  <c r="D53" i="4" s="1"/>
  <c r="BL9" i="9"/>
  <c r="BM11" i="9"/>
  <c r="BM9" i="9" s="1"/>
  <c r="BK7" i="9"/>
  <c r="H37" i="4"/>
  <c r="H51" i="4" s="1"/>
  <c r="H50" i="4"/>
  <c r="BK9" i="9"/>
  <c r="I51" i="4" s="1"/>
  <c r="E44" i="4"/>
  <c r="E15" i="8" s="1"/>
  <c r="E49" i="4"/>
  <c r="E16" i="8" s="1"/>
  <c r="E48" i="4"/>
  <c r="E18" i="8" s="1"/>
  <c r="D24" i="8" l="1"/>
  <c r="D23" i="8"/>
  <c r="D59" i="4"/>
  <c r="D25" i="8"/>
  <c r="D27" i="8"/>
  <c r="D22" i="8"/>
  <c r="D26" i="8"/>
  <c r="E29" i="4"/>
  <c r="E30" i="4"/>
  <c r="E31" i="4"/>
  <c r="E22" i="4"/>
  <c r="E24" i="4"/>
  <c r="E25" i="4"/>
  <c r="E21" i="4"/>
  <c r="E28" i="4"/>
  <c r="E27" i="4"/>
  <c r="E23" i="4"/>
  <c r="E33" i="4"/>
  <c r="E35" i="4"/>
  <c r="D28" i="8" l="1"/>
  <c r="E20" i="4"/>
  <c r="F25" i="4"/>
  <c r="D5" i="8" s="1"/>
  <c r="G31" i="4"/>
  <c r="E26" i="4"/>
  <c r="E6" i="8" s="1"/>
  <c r="F31" i="4"/>
  <c r="D6" i="8" s="1"/>
  <c r="E34" i="4"/>
  <c r="E10" i="8" s="1"/>
  <c r="F35" i="4"/>
  <c r="D10" i="8" s="1"/>
  <c r="F33" i="4"/>
  <c r="D7" i="8" s="1"/>
  <c r="G35" i="4"/>
  <c r="E32" i="4"/>
  <c r="E5" i="8" l="1"/>
  <c r="J31" i="4"/>
  <c r="E7" i="8"/>
  <c r="J35" i="4"/>
  <c r="E19" i="4"/>
  <c r="E17" i="4"/>
  <c r="E9" i="4"/>
  <c r="E16" i="4"/>
  <c r="E8" i="4"/>
  <c r="E15" i="4"/>
  <c r="E4" i="4"/>
  <c r="E7" i="4"/>
  <c r="E14" i="4"/>
  <c r="E6" i="4"/>
  <c r="E13" i="4"/>
  <c r="E5" i="4"/>
  <c r="E12" i="4"/>
  <c r="E11" i="4"/>
  <c r="E3" i="4"/>
  <c r="E10" i="4" l="1"/>
  <c r="E9" i="8" s="1"/>
  <c r="F17" i="4"/>
  <c r="D9" i="8" s="1"/>
  <c r="F9" i="4"/>
  <c r="D8" i="8" s="1"/>
  <c r="G19" i="4"/>
  <c r="G37" i="4" s="1"/>
  <c r="E18" i="4"/>
  <c r="F19" i="4"/>
  <c r="D37" i="4"/>
  <c r="E2" i="4"/>
  <c r="D12" i="8" l="1"/>
  <c r="C32" i="8" s="1"/>
  <c r="J19" i="4"/>
  <c r="E37" i="4"/>
  <c r="E8" i="8"/>
  <c r="E12" i="8" s="1"/>
  <c r="I37" i="4" l="1"/>
  <c r="E47" i="4" l="1"/>
  <c r="D17" i="8"/>
  <c r="E50" i="4" l="1"/>
  <c r="E17" i="8"/>
  <c r="E19" i="8" s="1"/>
  <c r="D32" i="8" s="1"/>
  <c r="E32" i="8" s="1"/>
  <c r="F32" i="8" s="1"/>
</calcChain>
</file>

<file path=xl/sharedStrings.xml><?xml version="1.0" encoding="utf-8"?>
<sst xmlns="http://schemas.openxmlformats.org/spreadsheetml/2006/main" count="367" uniqueCount="239">
  <si>
    <t>Temps complert</t>
  </si>
  <si>
    <t>Portàtil (amb o sense monitor)</t>
  </si>
  <si>
    <t>Compacte (SFF)</t>
  </si>
  <si>
    <t>Temps parcial</t>
  </si>
  <si>
    <t>Equip de sobretaula (amb o sense monitor)</t>
  </si>
  <si>
    <t>Linux</t>
  </si>
  <si>
    <t>No</t>
  </si>
  <si>
    <t>Minitorre</t>
  </si>
  <si>
    <t>Direcció departament</t>
  </si>
  <si>
    <t>Direcció centre</t>
  </si>
  <si>
    <t>Kits individuals de videoconferència (només si no s'adquireix ordinador)</t>
  </si>
  <si>
    <t>PAS</t>
  </si>
  <si>
    <t>Monitor sense ordinador</t>
  </si>
  <si>
    <t>Sense monitor</t>
  </si>
  <si>
    <t>PAS tècnic</t>
  </si>
  <si>
    <t>Tauletes (PDI a temps parcial)</t>
  </si>
  <si>
    <t>Marca de temps</t>
  </si>
  <si>
    <t>Motiu petició equipament</t>
  </si>
  <si>
    <t>Tipus d'equipament</t>
  </si>
  <si>
    <t>Tipus de portàtil</t>
  </si>
  <si>
    <t>Sistema operatiu</t>
  </si>
  <si>
    <t>Replicador de ports, teclat i ratolí</t>
  </si>
  <si>
    <t>Auricular amb micros</t>
  </si>
  <si>
    <t>Webcam (recordeu que el portàtil ja incorpora càmera)</t>
  </si>
  <si>
    <t>Tipus de PC</t>
  </si>
  <si>
    <t>Format</t>
  </si>
  <si>
    <t>Webcam</t>
  </si>
  <si>
    <t>Monitor</t>
  </si>
  <si>
    <t>Model</t>
  </si>
  <si>
    <t>Necessites tauleta (PDI a temps parcial)</t>
  </si>
  <si>
    <t>Campus de destí</t>
  </si>
  <si>
    <t>Edifici de destí</t>
  </si>
  <si>
    <t>Despatx de destí</t>
  </si>
  <si>
    <t>Necessites algun material o opció més que no estigui al formulari o al Pla TIC PDI? Indicans quin</t>
  </si>
  <si>
    <t>Si has contestat la pregunta anterior, indicans l'import addicional (només números)</t>
  </si>
  <si>
    <t>Vols fer algun suggeriment de millora sobre el procediment de recollida de sol·licituds?</t>
  </si>
  <si>
    <t>APROVAT (SI/NO) PER DIRECCIÓ</t>
  </si>
  <si>
    <t>PREU TOTAL</t>
  </si>
  <si>
    <t>IMPORT PORTÀTIL</t>
  </si>
  <si>
    <t>IMPORT ET</t>
  </si>
  <si>
    <t>IMPORT MONITOR</t>
  </si>
  <si>
    <t>IMPORT MAC</t>
  </si>
  <si>
    <t>IMPORT TAULETA</t>
  </si>
  <si>
    <t>IMPORT VIDEOCONF</t>
  </si>
  <si>
    <t>Unitat</t>
  </si>
  <si>
    <t>Bloc</t>
  </si>
  <si>
    <t>Direcció</t>
  </si>
  <si>
    <t>Equip</t>
  </si>
  <si>
    <t>Import licitació</t>
  </si>
  <si>
    <t>M1</t>
  </si>
  <si>
    <t>M2</t>
  </si>
  <si>
    <t>M3</t>
  </si>
  <si>
    <t>M4</t>
  </si>
  <si>
    <t>ETM1</t>
  </si>
  <si>
    <t>ETM2</t>
  </si>
  <si>
    <t>EPM1</t>
  </si>
  <si>
    <t>EPM2</t>
  </si>
  <si>
    <t>ETT</t>
  </si>
  <si>
    <t>Tauletes</t>
  </si>
  <si>
    <t>PDI TC</t>
  </si>
  <si>
    <t>PDI TP</t>
  </si>
  <si>
    <t>410 - I de Ciències de l'Educació</t>
  </si>
  <si>
    <t>420 - I d'Investigació Tèxtil de Cooperació Industrial de Terrassa</t>
  </si>
  <si>
    <t>440 - I d'Organització i Control de Sistemes Industrials</t>
  </si>
  <si>
    <t>460 - I de Tècniques Energètiques</t>
  </si>
  <si>
    <t>480 - IUR en Ciència i Tecnologies de la Sostenibilitat</t>
  </si>
  <si>
    <t>490 - Institut de Matemàtiques de la UPC-BarcelonaTech</t>
  </si>
  <si>
    <t>701 - Arquitectura de Computadors</t>
  </si>
  <si>
    <t>702 - Ciència i Enginyeria de Materials</t>
  </si>
  <si>
    <t>707 - Enginyeria de Sistemes, Automàtica i Informàtica Industrial</t>
  </si>
  <si>
    <t>709 - Enginyeria Elèctrica</t>
  </si>
  <si>
    <t>710 - Enginyeria Electrònica</t>
  </si>
  <si>
    <t>712 - Enginyeria Mecànica</t>
  </si>
  <si>
    <t>713 - Enginyeria Química</t>
  </si>
  <si>
    <t>715 - Estadística i Investigació Operativa</t>
  </si>
  <si>
    <t>717 - Departament d’Enginyeria Gràfica i de Disseny</t>
  </si>
  <si>
    <t>723 - Ciències de la Computació</t>
  </si>
  <si>
    <t>724 - Màquines i Motors Tèrmics</t>
  </si>
  <si>
    <t>729 - Mecànica de Fluids</t>
  </si>
  <si>
    <t>731 - Òptica i Optometria</t>
  </si>
  <si>
    <t>732 - Organització d'Empreses</t>
  </si>
  <si>
    <t>735 - Projectes Arquitectònics</t>
  </si>
  <si>
    <t>737 - Resistència de Materials i Estructures a l'Enginyeria</t>
  </si>
  <si>
    <t>739 - Teoria del Senyal i Comunicacions</t>
  </si>
  <si>
    <t>740 - Urbanisme i Ordenació del Territori</t>
  </si>
  <si>
    <t>742 - Ciència i Enginyeria Nàutiques</t>
  </si>
  <si>
    <t>744 - Enginyeria Telemàtica</t>
  </si>
  <si>
    <t>745 - Enginyeria Agroalimentària i Biotecnologia</t>
  </si>
  <si>
    <t>747 - Enginyeria de Serveis i Sistemes d'Informació</t>
  </si>
  <si>
    <t>748 - Física</t>
  </si>
  <si>
    <t>749 - Matemàtiques</t>
  </si>
  <si>
    <t>750 - Enginyeria Minera, Industrial i TIC</t>
  </si>
  <si>
    <t>751 - Enginyeria Civil i Ambiental</t>
  </si>
  <si>
    <t>752 - Representació Arquitectònica</t>
  </si>
  <si>
    <t>753 - Tecnologia de l'Arquitectura</t>
  </si>
  <si>
    <t>756 - Teoria i Història de l'Arquitectura i Tècniques de Comunicació</t>
  </si>
  <si>
    <t>758 - Enginyeria de Projectes i de la Construcció</t>
  </si>
  <si>
    <t>915 - I de Robòtica i Informàtica Industrial</t>
  </si>
  <si>
    <t>Finançament</t>
  </si>
  <si>
    <t>160 - Coordinació del Campus Nord</t>
  </si>
  <si>
    <t>171 - UTG de l'Àmbit de Camins</t>
  </si>
  <si>
    <t>172 - UTG de l'Àmbit de Nàutica</t>
  </si>
  <si>
    <t>173 - UTG de l'Àmbit de Matemàtiques</t>
  </si>
  <si>
    <t>181 - UTG del Campus del Baix Llobregat</t>
  </si>
  <si>
    <t>182 - UTG del Campus de Vilanova i la Geltrú</t>
  </si>
  <si>
    <t>183 - UTG de l'Àmbit de l'Arquitectura de Barcelona</t>
  </si>
  <si>
    <t>184 - UTG del Campus de Manresa</t>
  </si>
  <si>
    <t>185 - UTG de l'Àmbit Arquitectura de Sant Cugat</t>
  </si>
  <si>
    <t>188 - UTG de l'Àmbit de l'Enginyeria Industrial de Barcelona</t>
  </si>
  <si>
    <t>189 - UTG de l'Àmbit d'Edificació</t>
  </si>
  <si>
    <t>192 - UTG del Campus Terrassa</t>
  </si>
  <si>
    <t>193 - UTG de l'Àmbit d'Òptica i Optometria</t>
  </si>
  <si>
    <t>194 - UTG del Campus Diagonal-Besòs</t>
  </si>
  <si>
    <t>195 - UTG Àmbit TIC Campus Nord</t>
  </si>
  <si>
    <t>520 - Servei de Biblioteques, Publicacions i Arxius</t>
  </si>
  <si>
    <t>SG - Serveis Generals</t>
  </si>
  <si>
    <t>ET1.W</t>
  </si>
  <si>
    <t>ET1.L</t>
  </si>
  <si>
    <t>ET2.W</t>
  </si>
  <si>
    <t>ET2.L</t>
  </si>
  <si>
    <t>ET3.W</t>
  </si>
  <si>
    <t>ET3.L</t>
  </si>
  <si>
    <t>ET4.W</t>
  </si>
  <si>
    <t>ET4.L</t>
  </si>
  <si>
    <t>ET5.W</t>
  </si>
  <si>
    <t>ET5.L</t>
  </si>
  <si>
    <t>ET6.W</t>
  </si>
  <si>
    <t>ET6.L</t>
  </si>
  <si>
    <t>ET7.W</t>
  </si>
  <si>
    <t>ET7.L</t>
  </si>
  <si>
    <t>ET8.W</t>
  </si>
  <si>
    <t>ET8.L</t>
  </si>
  <si>
    <t>P1.i5.W</t>
  </si>
  <si>
    <t>P1.i5.L</t>
  </si>
  <si>
    <t>P1.i7.W</t>
  </si>
  <si>
    <t>P1.i7.L</t>
  </si>
  <si>
    <t>P2.i5.W</t>
  </si>
  <si>
    <t>P2.i5.L</t>
  </si>
  <si>
    <t>P2.i7.W</t>
  </si>
  <si>
    <t>P2.i7.L</t>
  </si>
  <si>
    <t>P3.i5.W</t>
  </si>
  <si>
    <t>P3.i5.L</t>
  </si>
  <si>
    <t>P3.i7.W</t>
  </si>
  <si>
    <t>P3.i7.L</t>
  </si>
  <si>
    <t>Altres</t>
  </si>
  <si>
    <t>Auriculars amb micròfon</t>
  </si>
  <si>
    <t>Usuari</t>
  </si>
  <si>
    <t>Auriculars amb micro</t>
  </si>
  <si>
    <t>Portàtil</t>
  </si>
  <si>
    <t>Dock,  teclat i ratolí</t>
  </si>
  <si>
    <t>Dock, teclat i ratolí</t>
  </si>
  <si>
    <t>Import licitació
portàtil</t>
  </si>
  <si>
    <t>Import licitació
total</t>
  </si>
  <si>
    <t>Sobretaula</t>
  </si>
  <si>
    <t>Import licitació sobretaula</t>
  </si>
  <si>
    <t>Tauleta</t>
  </si>
  <si>
    <t>MacOS</t>
  </si>
  <si>
    <t>Import licitació MacOS</t>
  </si>
  <si>
    <t xml:space="preserve">Llistes de valors:    </t>
  </si>
  <si>
    <t>P1.i5) Portàtil 2'5kg màx, 15'6", i5, 16GB RAM, 512GB SSD M2 NVMe</t>
  </si>
  <si>
    <t>P1.i7) Portàtil 2'5kg màx, 15'6", i7, 16GB RAM, 512GB SSD M2 NVMe</t>
  </si>
  <si>
    <t xml:space="preserve">P2.i5) Portàtil 2kg màx, 14", i5, 16GB RAM, 512GB SSD M2 NVMe </t>
  </si>
  <si>
    <t xml:space="preserve">P2.i7) Portàtil 2kg màx, 14", i7, 16GB RAM, 512GB SSD M2 NVMe </t>
  </si>
  <si>
    <t>ET5) i5-9600, 16GB RAM, 1TB SSD M2 NVMe , targeta gràfica 2.500 PassMark</t>
  </si>
  <si>
    <t>ET1) i3, 8GB RAM, 256 SSD</t>
  </si>
  <si>
    <t>ET2) i5-9400, 16GB RAM, 1TB SSD M2 NVMe</t>
  </si>
  <si>
    <t>ET3) i5-9400, 16GB RAM, 1TB SSD M2 NVMe, targeta gràfica 2.500 PassMark</t>
  </si>
  <si>
    <t>ET4) i5-9600, 16GB RAM, 1TB SSD M2 NVMe</t>
  </si>
  <si>
    <t>ET6) i5-9600, font 550w, 16GB RAM, 512GB SSD, targeta gràfica 6.000 PassMark</t>
  </si>
  <si>
    <t>ET7) Workstation i7, font 550w, 16GB RAM, 1TB SSD, targeta gràfica 6.000 PassMark</t>
  </si>
  <si>
    <t>ET8) Workstation Xeon, font 550w, 16GB RAM, 1TB SSD, targeta gràfica 6.000 PassMark</t>
  </si>
  <si>
    <t>Windows, imprescindible si es farà servir aquest S.O.</t>
  </si>
  <si>
    <t>Webcam P</t>
  </si>
  <si>
    <t>Webcam S</t>
  </si>
  <si>
    <t>Webcam T</t>
  </si>
  <si>
    <t>Auriculars amb micro T</t>
  </si>
  <si>
    <t>Auriculars amb micro S</t>
  </si>
  <si>
    <t>Auriculars amb micro P</t>
  </si>
  <si>
    <t>Quantitat</t>
  </si>
  <si>
    <t>Comprovació</t>
  </si>
  <si>
    <t>Resum</t>
  </si>
  <si>
    <t>Portàtils Windows</t>
  </si>
  <si>
    <t>Portàtils Linux</t>
  </si>
  <si>
    <t>Portàtils MacOS</t>
  </si>
  <si>
    <t>Sobretaula Windows</t>
  </si>
  <si>
    <t>Sobretaula Linux</t>
  </si>
  <si>
    <t>Sobretaula MacOS</t>
  </si>
  <si>
    <t>Monitors</t>
  </si>
  <si>
    <t>Dock, teclat, ratolí</t>
  </si>
  <si>
    <t>Auriculars i micro</t>
  </si>
  <si>
    <t>Quantitats</t>
  </si>
  <si>
    <t>Ajuts</t>
  </si>
  <si>
    <t>Equips</t>
  </si>
  <si>
    <t>Aportació 
de la unitat</t>
  </si>
  <si>
    <t>Finançament màxim convocatòria</t>
  </si>
  <si>
    <t>Finançament assignat per la  convocatòria</t>
  </si>
  <si>
    <t>1 = Màxima</t>
  </si>
  <si>
    <t>Tipus usuari</t>
  </si>
  <si>
    <t xml:space="preserve">Tipus usuari </t>
  </si>
  <si>
    <t>Finançament 
Bloc 1  - PDI</t>
  </si>
  <si>
    <t>Finançament 
Bloc 2  - PAS</t>
  </si>
  <si>
    <t>Bloc 1 - PDI</t>
  </si>
  <si>
    <t>Bloc 2 - PAS</t>
  </si>
  <si>
    <t>Finançament 
total</t>
  </si>
  <si>
    <t>Any adquisició de l'equip actual</t>
  </si>
  <si>
    <t>Número de sèrie de l'equip actual</t>
  </si>
  <si>
    <t>Número d'inventari de l'equip actual</t>
  </si>
  <si>
    <t>Tipus d'equipament sol·licitat</t>
  </si>
  <si>
    <t>P3.i7) [*] Portàtil lleuger 1,5Kg màx, 13'3", i7, 16GB RAM, 512GB SSD M2 NVMe (recomanat PDI)</t>
  </si>
  <si>
    <t>P3.i5) [*] Portàtil lleuger 1,5Kg màx, 13'3", i5, 16GB RAM, 512GB SSD M2 NVMe (recomanat PAS)</t>
  </si>
  <si>
    <t>MacOS, IOS (PDI TC)</t>
  </si>
  <si>
    <t>Aquestes columnes no es tindran en consideració</t>
  </si>
  <si>
    <t>Prioritat</t>
  </si>
  <si>
    <t xml:space="preserve">Seleccioneu la unitat: </t>
  </si>
  <si>
    <t>Fórmules</t>
  </si>
  <si>
    <t>Si [*] (opció recomanada per a tots els portàtils)</t>
  </si>
  <si>
    <t>M4) [*] Monitor multimèdia 27" (recomanat PDI)</t>
  </si>
  <si>
    <t>M3) Monitor 24" multimèdia</t>
  </si>
  <si>
    <t>M2) Monitor 24" sense multimèdia (recomanat PAS)</t>
  </si>
  <si>
    <t>M1) Monitor 21,5"</t>
  </si>
  <si>
    <t>Si</t>
  </si>
  <si>
    <t>ETT) Tauleta SO Android, 10”, 2GB RAM, 32GB ROM</t>
  </si>
  <si>
    <t>EPM2) Portàtil MacBook Pro 13”, M1 GPU 8 nuclis, 8GB, 512GB SSD</t>
  </si>
  <si>
    <t>EPM1) Portàtil MacBook Air 13”, M1 GPU 8 nuclis, 8GB, 512GB SSD</t>
  </si>
  <si>
    <t>ETM2) iMac 27”, Retina 5K, i5 6 nuclis 3,3 Ghz, 8GB, 512GB SSD (monitor integrat, aquest model sobrepassa el finançament previst)</t>
  </si>
  <si>
    <t>ETM1) iMac 24”, Retina 4.5K, M1 GPU 8 nuclis, 8GB, 256GB SSD (monitor integrat)</t>
  </si>
  <si>
    <t>Preu licitació</t>
  </si>
  <si>
    <t>Sol·licitud finançament convocatòria</t>
  </si>
  <si>
    <t>Model MacOS</t>
  </si>
  <si>
    <t>Aportació mínima unitat</t>
  </si>
  <si>
    <t>Comptadors:</t>
  </si>
  <si>
    <t>Comptador usuari</t>
  </si>
  <si>
    <t>Quantitat usuaris</t>
  </si>
  <si>
    <t>Usuari&amp;Comptador&amp;DemanaET</t>
  </si>
  <si>
    <t>Demana
ET?</t>
  </si>
  <si>
    <t>Quantitat 
Ets</t>
  </si>
  <si>
    <t>Quantitat Ets</t>
  </si>
  <si>
    <t>Adreça electrònica</t>
  </si>
  <si>
    <t>EXTRA WINDOWS ET6 i ET7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</si>
</sst>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6" formatCode="#,##0\ &quot;€&quot;;[Red]\-#,##0\ &quot;€&quot;"/>
    <numFmt numFmtId="44" formatCode="_-* #,##0.00\ &quot;€&quot;_-;\-* #,##0.00\ &quot;€&quot;_-;_-* &quot;-&quot;??\ &quot;€&quot;_-;_-@_-"/>
    <numFmt numFmtId="164" formatCode="#,##0\ [$€-1]"/>
    <numFmt numFmtId="165" formatCode="#,##0&quot;€&quot;"/>
    <numFmt numFmtId="166" formatCode="_-* #,##0\ &quot;€&quot;_-;\-* #,##0\ &quot;€&quot;_-;_-* &quot;-&quot;??\ &quot;€&quot;_-;_-@_-"/>
    <numFmt numFmtId="167" formatCode="#,###"/>
  </numFmts>
  <fonts count="34">
    <font>
      <sz val="10"/>
      <color rgb="FF000000"/>
      <name val="Arial"/>
    </font>
    <font>
      <sz val="10"/>
      <name val="Arial"/>
    </font>
    <font>
      <sz val="10"/>
      <color theme="1"/>
      <name val="Arial"/>
    </font>
    <font>
      <b/>
      <sz val="10"/>
      <color rgb="FFFF0000"/>
      <name val="Arial"/>
    </font>
    <font>
      <b/>
      <sz val="10"/>
      <color rgb="FF073763"/>
      <name val="Arial"/>
    </font>
    <font>
      <b/>
      <sz val="10"/>
      <name val="Arial"/>
    </font>
    <font>
      <sz val="11"/>
      <color rgb="FF000000"/>
      <name val="Inconsolata"/>
    </font>
    <font>
      <b/>
      <sz val="10"/>
      <color rgb="FFFFFFFF"/>
      <name val="Arial"/>
    </font>
    <font>
      <b/>
      <sz val="11"/>
      <color rgb="FFFFFFFF"/>
      <name val="Arial"/>
    </font>
    <font>
      <b/>
      <sz val="11"/>
      <color rgb="FFFFFFFF"/>
      <name val="Calibri"/>
    </font>
    <font>
      <b/>
      <sz val="10"/>
      <color rgb="FFFFFFFF"/>
      <name val="Arial"/>
      <family val="2"/>
    </font>
    <font>
      <sz val="12"/>
      <color rgb="FF00000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</font>
    <font>
      <sz val="10"/>
      <color theme="1"/>
      <name val="Arial"/>
      <family val="2"/>
    </font>
    <font>
      <sz val="10"/>
      <name val="Arial"/>
      <family val="2"/>
    </font>
    <font>
      <b/>
      <sz val="11"/>
      <color rgb="FF000000"/>
      <name val="Arial"/>
      <family val="2"/>
    </font>
    <font>
      <b/>
      <sz val="10"/>
      <color rgb="FF073763"/>
      <name val="Arial"/>
      <family val="2"/>
    </font>
    <font>
      <sz val="10"/>
      <color theme="0" tint="-0.249977111117893"/>
      <name val="Arial"/>
      <family val="2"/>
    </font>
    <font>
      <sz val="10"/>
      <color theme="0" tint="-0.14999847407452621"/>
      <name val="Arial"/>
      <family val="2"/>
    </font>
    <font>
      <sz val="12"/>
      <color theme="0" tint="-0.14999847407452621"/>
      <name val="Arial"/>
      <family val="2"/>
    </font>
    <font>
      <b/>
      <sz val="10"/>
      <color theme="0" tint="-0.14999847407452621"/>
      <name val="Arial"/>
      <family val="2"/>
    </font>
    <font>
      <b/>
      <sz val="10"/>
      <color theme="4" tint="-0.499984740745262"/>
      <name val="Arial"/>
      <family val="2"/>
    </font>
    <font>
      <sz val="11"/>
      <color theme="0" tint="-0.249977111117893"/>
      <name val="Inconsolata"/>
    </font>
    <font>
      <sz val="9"/>
      <color theme="1"/>
      <name val="Arial"/>
      <family val="2"/>
    </font>
    <font>
      <b/>
      <sz val="12"/>
      <color rgb="FF073763"/>
      <name val="Arial"/>
      <family val="2"/>
    </font>
    <font>
      <b/>
      <sz val="11"/>
      <color rgb="FFFFFFFF"/>
      <name val="Arial"/>
      <family val="2"/>
    </font>
    <font>
      <sz val="10"/>
      <color theme="1" tint="0.499984740745262"/>
      <name val="Arial"/>
      <family val="2"/>
    </font>
    <font>
      <b/>
      <sz val="12"/>
      <color rgb="FF000000"/>
      <name val="Arial"/>
      <family val="2"/>
    </font>
    <font>
      <sz val="8"/>
      <color theme="0" tint="-0.249977111117893"/>
      <name val="Arial"/>
      <family val="2"/>
    </font>
    <font>
      <sz val="8"/>
      <color theme="0" tint="-0.14999847407452621"/>
      <name val="Arial"/>
      <family val="2"/>
    </font>
    <font>
      <b/>
      <sz val="10"/>
      <color theme="1" tint="0.499984740745262"/>
      <name val="Arial"/>
      <family val="2"/>
    </font>
    <font>
      <b/>
      <sz val="10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rgb="FFCFE2F3"/>
        <bgColor rgb="FFCFE2F3"/>
      </patternFill>
    </fill>
    <fill>
      <patternFill patternType="solid">
        <fgColor rgb="FF9FC5E8"/>
        <bgColor rgb="FF9FC5E8"/>
      </patternFill>
    </fill>
    <fill>
      <patternFill patternType="solid">
        <fgColor rgb="FFD9D9D9"/>
        <bgColor rgb="FFD9D9D9"/>
      </patternFill>
    </fill>
    <fill>
      <patternFill patternType="solid">
        <fgColor rgb="FFFFFFFF"/>
        <bgColor rgb="FFFFFFFF"/>
      </patternFill>
    </fill>
    <fill>
      <patternFill patternType="solid">
        <fgColor rgb="FFCCCCCC"/>
        <bgColor rgb="FFCCCCCC"/>
      </patternFill>
    </fill>
    <fill>
      <patternFill patternType="solid">
        <fgColor rgb="FF1C4587"/>
        <bgColor rgb="FF1C4587"/>
      </patternFill>
    </fill>
    <fill>
      <patternFill patternType="solid">
        <fgColor rgb="FFF3F3F3"/>
        <bgColor rgb="FFF3F3F3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34998626667073579"/>
        <bgColor rgb="FFCFE2F3"/>
      </patternFill>
    </fill>
    <fill>
      <patternFill patternType="solid">
        <fgColor theme="0" tint="-0.34998626667073579"/>
        <bgColor rgb="FFFFFFFF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1C4587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63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rgb="FFFFFFFF"/>
      </left>
      <right style="thick">
        <color rgb="FFFFFFFF"/>
      </right>
      <top style="thick">
        <color rgb="FFFFFFFF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FFFFFF"/>
      </right>
      <top style="thin">
        <color indexed="64"/>
      </top>
      <bottom style="thin">
        <color rgb="FFFFFFFF"/>
      </bottom>
      <diagonal/>
    </border>
    <border>
      <left/>
      <right style="thin">
        <color rgb="FFFFFFFF"/>
      </right>
      <top style="thin">
        <color indexed="64"/>
      </top>
      <bottom style="thin">
        <color rgb="FFFFFFFF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FFFFFF"/>
      </right>
      <top/>
      <bottom style="thin">
        <color rgb="FFFFFFFF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rgb="FFFFFFFF"/>
      </right>
      <top/>
      <bottom style="thin">
        <color indexed="64"/>
      </bottom>
      <diagonal/>
    </border>
    <border>
      <left/>
      <right style="thin">
        <color rgb="FFFFFFFF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rgb="FFFFFFFF"/>
      </right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indexed="64"/>
      </top>
      <bottom style="thin">
        <color theme="0" tint="-0.1499984740745262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rgb="FFFFFFFF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theme="0" tint="-0.14999847407452621"/>
      </bottom>
      <diagonal/>
    </border>
    <border>
      <left/>
      <right/>
      <top style="thin">
        <color indexed="64"/>
      </top>
      <bottom style="thin">
        <color theme="0" tint="-0.14999847407452621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14999847407452621"/>
      </bottom>
      <diagonal/>
    </border>
    <border>
      <left style="thin">
        <color indexed="64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indexed="64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indexed="64"/>
      </left>
      <right style="thin">
        <color theme="0" tint="-0.14999847407452621"/>
      </right>
      <top style="thin">
        <color theme="0" tint="-0.14999847407452621"/>
      </top>
      <bottom style="thin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indexed="64"/>
      </bottom>
      <diagonal/>
    </border>
    <border>
      <left style="thin">
        <color theme="0" tint="-0.14999847407452621"/>
      </left>
      <right style="thin">
        <color indexed="64"/>
      </right>
      <top style="thin">
        <color theme="0" tint="-0.14999847407452621"/>
      </top>
      <bottom style="thin">
        <color indexed="64"/>
      </bottom>
      <diagonal/>
    </border>
    <border>
      <left style="thin">
        <color indexed="64"/>
      </left>
      <right style="thin">
        <color theme="0" tint="-0.14999847407452621"/>
      </right>
      <top style="thin">
        <color indexed="64"/>
      </top>
      <bottom style="thin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indexed="64"/>
      </top>
      <bottom style="thin">
        <color indexed="64"/>
      </bottom>
      <diagonal/>
    </border>
    <border>
      <left style="thin">
        <color theme="0" tint="-0.1499984740745262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 tint="-0.14999847407452621"/>
      </left>
      <right/>
      <top style="thin">
        <color indexed="64"/>
      </top>
      <bottom style="thin">
        <color theme="0" tint="-0.14999847407452621"/>
      </bottom>
      <diagonal/>
    </border>
    <border>
      <left style="thick">
        <color theme="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ck">
        <color theme="1"/>
      </left>
      <right style="thin">
        <color theme="0" tint="-0.14999847407452621"/>
      </right>
      <top style="thin">
        <color indexed="64"/>
      </top>
      <bottom style="thin">
        <color theme="0" tint="-0.149998474074526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14999847407452621"/>
      </bottom>
      <diagonal/>
    </border>
    <border>
      <left style="thin">
        <color indexed="64"/>
      </left>
      <right style="thin">
        <color indexed="64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indexed="64"/>
      </left>
      <right style="thin">
        <color indexed="64"/>
      </right>
      <top style="thin">
        <color theme="0" tint="-0.14999847407452621"/>
      </top>
      <bottom style="thin">
        <color indexed="64"/>
      </bottom>
      <diagonal/>
    </border>
  </borders>
  <cellStyleXfs count="2">
    <xf numFmtId="0" fontId="0" fillId="0" borderId="0"/>
    <xf numFmtId="44" fontId="14" fillId="0" borderId="0" applyFont="0" applyFill="0" applyBorder="0" applyAlignment="0" applyProtection="0"/>
  </cellStyleXfs>
  <cellXfs count="228">
    <xf numFmtId="0" fontId="0" fillId="0" borderId="0" xfId="0" applyFont="1" applyAlignment="1"/>
    <xf numFmtId="0" fontId="2" fillId="0" borderId="0" xfId="0" applyFont="1" applyAlignment="1"/>
    <xf numFmtId="165" fontId="2" fillId="0" borderId="0" xfId="0" applyNumberFormat="1" applyFont="1" applyAlignment="1"/>
    <xf numFmtId="165" fontId="2" fillId="6" borderId="0" xfId="0" applyNumberFormat="1" applyFont="1" applyFill="1" applyAlignment="1"/>
    <xf numFmtId="0" fontId="5" fillId="2" borderId="0" xfId="0" applyFont="1" applyFill="1"/>
    <xf numFmtId="0" fontId="0" fillId="0" borderId="0" xfId="0" applyFont="1" applyAlignment="1">
      <alignment vertical="center"/>
    </xf>
    <xf numFmtId="0" fontId="0" fillId="0" borderId="0" xfId="0" applyFont="1" applyAlignment="1">
      <alignment vertical="center" wrapText="1"/>
    </xf>
    <xf numFmtId="0" fontId="7" fillId="7" borderId="1" xfId="0" applyFont="1" applyFill="1" applyBorder="1" applyAlignment="1">
      <alignment horizontal="center" vertical="center" wrapText="1"/>
    </xf>
    <xf numFmtId="0" fontId="8" fillId="7" borderId="1" xfId="0" applyFont="1" applyFill="1" applyBorder="1" applyAlignment="1">
      <alignment horizontal="center" vertical="center"/>
    </xf>
    <xf numFmtId="0" fontId="9" fillId="7" borderId="3" xfId="0" applyFont="1" applyFill="1" applyBorder="1" applyAlignment="1">
      <alignment horizontal="center" vertical="center" wrapText="1"/>
    </xf>
    <xf numFmtId="0" fontId="7" fillId="7" borderId="4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5" xfId="0" applyFont="1" applyBorder="1" applyAlignment="1">
      <alignment wrapText="1"/>
    </xf>
    <xf numFmtId="0" fontId="3" fillId="0" borderId="5" xfId="0" applyFont="1" applyBorder="1" applyAlignment="1">
      <alignment wrapText="1"/>
    </xf>
    <xf numFmtId="0" fontId="5" fillId="2" borderId="5" xfId="0" applyFont="1" applyFill="1" applyBorder="1" applyAlignment="1">
      <alignment wrapText="1"/>
    </xf>
    <xf numFmtId="0" fontId="4" fillId="4" borderId="5" xfId="0" applyFont="1" applyFill="1" applyBorder="1" applyAlignment="1">
      <alignment horizontal="center" wrapText="1"/>
    </xf>
    <xf numFmtId="164" fontId="6" fillId="5" borderId="5" xfId="0" applyNumberFormat="1" applyFont="1" applyFill="1" applyBorder="1" applyAlignment="1">
      <alignment horizontal="right" wrapText="1"/>
    </xf>
    <xf numFmtId="0" fontId="6" fillId="5" borderId="5" xfId="0" applyFont="1" applyFill="1" applyBorder="1" applyAlignment="1">
      <alignment horizontal="right" wrapText="1"/>
    </xf>
    <xf numFmtId="0" fontId="3" fillId="9" borderId="5" xfId="0" applyFont="1" applyFill="1" applyBorder="1" applyAlignment="1">
      <alignment wrapText="1"/>
    </xf>
    <xf numFmtId="0" fontId="6" fillId="11" borderId="5" xfId="0" applyFont="1" applyFill="1" applyBorder="1" applyAlignment="1">
      <alignment horizontal="right" wrapText="1"/>
    </xf>
    <xf numFmtId="0" fontId="0" fillId="9" borderId="5" xfId="0" applyFont="1" applyFill="1" applyBorder="1" applyAlignment="1">
      <alignment wrapText="1"/>
    </xf>
    <xf numFmtId="0" fontId="4" fillId="4" borderId="7" xfId="0" applyFont="1" applyFill="1" applyBorder="1" applyAlignment="1">
      <alignment horizontal="center" wrapText="1"/>
    </xf>
    <xf numFmtId="0" fontId="6" fillId="5" borderId="9" xfId="0" applyFont="1" applyFill="1" applyBorder="1" applyAlignment="1">
      <alignment horizontal="center" wrapText="1"/>
    </xf>
    <xf numFmtId="164" fontId="2" fillId="0" borderId="9" xfId="0" applyNumberFormat="1" applyFont="1" applyBorder="1" applyAlignment="1">
      <alignment horizontal="right" wrapText="1"/>
    </xf>
    <xf numFmtId="0" fontId="0" fillId="0" borderId="5" xfId="0" applyFont="1" applyBorder="1" applyAlignment="1">
      <alignment wrapText="1"/>
    </xf>
    <xf numFmtId="0" fontId="1" fillId="0" borderId="5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0" fillId="0" borderId="6" xfId="0" applyFont="1" applyBorder="1" applyAlignment="1">
      <alignment horizontal="center" wrapText="1"/>
    </xf>
    <xf numFmtId="0" fontId="0" fillId="0" borderId="5" xfId="0" applyFont="1" applyBorder="1" applyAlignment="1">
      <alignment horizontal="center" wrapText="1"/>
    </xf>
    <xf numFmtId="164" fontId="2" fillId="0" borderId="9" xfId="0" applyNumberFormat="1" applyFont="1" applyBorder="1" applyAlignment="1">
      <alignment horizontal="center" wrapText="1"/>
    </xf>
    <xf numFmtId="164" fontId="0" fillId="0" borderId="5" xfId="0" applyNumberFormat="1" applyFont="1" applyBorder="1" applyAlignment="1">
      <alignment wrapText="1"/>
    </xf>
    <xf numFmtId="0" fontId="0" fillId="0" borderId="10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0" fillId="12" borderId="7" xfId="0" applyFont="1" applyFill="1" applyBorder="1" applyAlignment="1">
      <alignment horizontal="center" wrapText="1"/>
    </xf>
    <xf numFmtId="0" fontId="2" fillId="0" borderId="9" xfId="0" applyFont="1" applyBorder="1" applyAlignment="1">
      <alignment wrapText="1"/>
    </xf>
    <xf numFmtId="0" fontId="0" fillId="14" borderId="5" xfId="0" applyFont="1" applyFill="1" applyBorder="1" applyAlignment="1">
      <alignment vertical="center" wrapText="1"/>
    </xf>
    <xf numFmtId="0" fontId="11" fillId="0" borderId="7" xfId="0" applyFont="1" applyBorder="1" applyAlignment="1">
      <alignment vertical="center" wrapText="1"/>
    </xf>
    <xf numFmtId="0" fontId="11" fillId="0" borderId="5" xfId="0" applyFont="1" applyBorder="1" applyAlignment="1">
      <alignment vertical="center" wrapText="1"/>
    </xf>
    <xf numFmtId="0" fontId="11" fillId="9" borderId="5" xfId="0" applyFont="1" applyFill="1" applyBorder="1" applyAlignment="1">
      <alignment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center" wrapText="1"/>
    </xf>
    <xf numFmtId="0" fontId="11" fillId="0" borderId="8" xfId="0" applyFont="1" applyBorder="1" applyAlignment="1">
      <alignment vertical="center" wrapText="1"/>
    </xf>
    <xf numFmtId="0" fontId="16" fillId="0" borderId="0" xfId="0" applyFont="1" applyAlignment="1"/>
    <xf numFmtId="0" fontId="12" fillId="0" borderId="0" xfId="0" applyFont="1" applyAlignment="1"/>
    <xf numFmtId="0" fontId="10" fillId="15" borderId="12" xfId="0" applyFont="1" applyFill="1" applyBorder="1" applyAlignment="1">
      <alignment horizontal="center" vertical="center" wrapText="1"/>
    </xf>
    <xf numFmtId="6" fontId="0" fillId="0" borderId="0" xfId="0" applyNumberFormat="1" applyFont="1" applyAlignment="1"/>
    <xf numFmtId="0" fontId="18" fillId="4" borderId="7" xfId="0" applyFont="1" applyFill="1" applyBorder="1" applyAlignment="1">
      <alignment horizontal="center" wrapText="1"/>
    </xf>
    <xf numFmtId="1" fontId="0" fillId="0" borderId="5" xfId="0" applyNumberFormat="1" applyFont="1" applyBorder="1" applyAlignment="1">
      <alignment wrapText="1"/>
    </xf>
    <xf numFmtId="0" fontId="10" fillId="7" borderId="25" xfId="0" applyFont="1" applyFill="1" applyBorder="1" applyAlignment="1">
      <alignment horizontal="center" vertical="center" wrapText="1"/>
    </xf>
    <xf numFmtId="0" fontId="0" fillId="0" borderId="32" xfId="0" applyFont="1" applyBorder="1" applyAlignment="1"/>
    <xf numFmtId="0" fontId="0" fillId="0" borderId="0" xfId="0" applyFont="1" applyAlignment="1">
      <alignment wrapText="1"/>
    </xf>
    <xf numFmtId="0" fontId="12" fillId="0" borderId="0" xfId="0" applyFont="1" applyBorder="1" applyAlignment="1"/>
    <xf numFmtId="6" fontId="12" fillId="0" borderId="0" xfId="0" applyNumberFormat="1" applyFont="1" applyAlignment="1"/>
    <xf numFmtId="6" fontId="13" fillId="0" borderId="32" xfId="0" applyNumberFormat="1" applyFont="1" applyBorder="1" applyAlignment="1"/>
    <xf numFmtId="166" fontId="13" fillId="0" borderId="0" xfId="1" applyNumberFormat="1" applyFont="1" applyAlignment="1">
      <alignment vertical="center"/>
    </xf>
    <xf numFmtId="0" fontId="0" fillId="0" borderId="36" xfId="0" applyFont="1" applyBorder="1" applyAlignment="1"/>
    <xf numFmtId="0" fontId="17" fillId="0" borderId="33" xfId="0" applyFont="1" applyBorder="1" applyAlignment="1">
      <alignment vertical="center"/>
    </xf>
    <xf numFmtId="0" fontId="12" fillId="14" borderId="34" xfId="0" applyFont="1" applyFill="1" applyBorder="1" applyAlignment="1">
      <alignment horizontal="center" vertical="center" wrapText="1"/>
    </xf>
    <xf numFmtId="0" fontId="12" fillId="14" borderId="35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2" fillId="3" borderId="0" xfId="0" applyFont="1" applyFill="1" applyAlignment="1">
      <alignment vertical="center" wrapText="1"/>
    </xf>
    <xf numFmtId="0" fontId="5" fillId="0" borderId="5" xfId="0" applyFont="1" applyFill="1" applyBorder="1" applyAlignment="1">
      <alignment wrapText="1"/>
    </xf>
    <xf numFmtId="0" fontId="0" fillId="0" borderId="5" xfId="0" applyFont="1" applyFill="1" applyBorder="1" applyAlignment="1">
      <alignment wrapText="1"/>
    </xf>
    <xf numFmtId="0" fontId="0" fillId="0" borderId="8" xfId="0" applyFont="1" applyBorder="1" applyAlignment="1">
      <alignment wrapText="1"/>
    </xf>
    <xf numFmtId="0" fontId="2" fillId="0" borderId="8" xfId="0" applyFont="1" applyBorder="1" applyAlignment="1">
      <alignment wrapText="1"/>
    </xf>
    <xf numFmtId="0" fontId="0" fillId="17" borderId="5" xfId="0" applyFont="1" applyFill="1" applyBorder="1" applyAlignment="1">
      <alignment horizontal="right" vertical="center" wrapText="1"/>
    </xf>
    <xf numFmtId="0" fontId="0" fillId="17" borderId="6" xfId="0" applyFont="1" applyFill="1" applyBorder="1" applyAlignment="1">
      <alignment vertical="center" wrapText="1"/>
    </xf>
    <xf numFmtId="0" fontId="0" fillId="17" borderId="7" xfId="0" applyFont="1" applyFill="1" applyBorder="1" applyAlignment="1">
      <alignment vertical="center" wrapText="1"/>
    </xf>
    <xf numFmtId="0" fontId="0" fillId="17" borderId="5" xfId="0" applyFont="1" applyFill="1" applyBorder="1" applyAlignment="1">
      <alignment vertical="center" wrapText="1"/>
    </xf>
    <xf numFmtId="0" fontId="0" fillId="17" borderId="5" xfId="0" applyFont="1" applyFill="1" applyBorder="1" applyAlignment="1">
      <alignment horizontal="center" vertical="center" wrapText="1"/>
    </xf>
    <xf numFmtId="0" fontId="0" fillId="18" borderId="11" xfId="0" applyFont="1" applyFill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2" fillId="0" borderId="6" xfId="0" applyFont="1" applyFill="1" applyBorder="1" applyAlignment="1">
      <alignment horizontal="right" vertical="center" wrapText="1"/>
    </xf>
    <xf numFmtId="165" fontId="0" fillId="0" borderId="0" xfId="0" applyNumberFormat="1" applyFont="1" applyAlignment="1"/>
    <xf numFmtId="0" fontId="0" fillId="0" borderId="6" xfId="0" applyFont="1" applyFill="1" applyBorder="1" applyAlignment="1">
      <alignment wrapText="1"/>
    </xf>
    <xf numFmtId="0" fontId="0" fillId="0" borderId="10" xfId="0" applyFont="1" applyFill="1" applyBorder="1" applyAlignment="1">
      <alignment wrapText="1"/>
    </xf>
    <xf numFmtId="0" fontId="20" fillId="0" borderId="5" xfId="0" applyFont="1" applyBorder="1" applyAlignment="1">
      <alignment wrapText="1"/>
    </xf>
    <xf numFmtId="0" fontId="21" fillId="0" borderId="5" xfId="0" applyFont="1" applyBorder="1" applyAlignment="1">
      <alignment vertical="center" wrapText="1"/>
    </xf>
    <xf numFmtId="0" fontId="20" fillId="17" borderId="5" xfId="0" applyFont="1" applyFill="1" applyBorder="1" applyAlignment="1">
      <alignment vertical="center" wrapText="1"/>
    </xf>
    <xf numFmtId="0" fontId="22" fillId="0" borderId="5" xfId="0" applyFont="1" applyBorder="1" applyAlignment="1">
      <alignment wrapText="1"/>
    </xf>
    <xf numFmtId="164" fontId="24" fillId="5" borderId="5" xfId="0" applyNumberFormat="1" applyFont="1" applyFill="1" applyBorder="1" applyAlignment="1">
      <alignment horizontal="right" wrapText="1"/>
    </xf>
    <xf numFmtId="0" fontId="11" fillId="17" borderId="7" xfId="0" applyFont="1" applyFill="1" applyBorder="1" applyAlignment="1">
      <alignment horizontal="center" vertical="center" wrapText="1"/>
    </xf>
    <xf numFmtId="164" fontId="15" fillId="0" borderId="5" xfId="0" applyNumberFormat="1" applyFont="1" applyBorder="1" applyAlignment="1">
      <alignment wrapText="1"/>
    </xf>
    <xf numFmtId="164" fontId="13" fillId="0" borderId="5" xfId="0" applyNumberFormat="1" applyFont="1" applyBorder="1" applyAlignment="1">
      <alignment wrapText="1"/>
    </xf>
    <xf numFmtId="1" fontId="24" fillId="5" borderId="5" xfId="0" applyNumberFormat="1" applyFont="1" applyFill="1" applyBorder="1" applyAlignment="1">
      <alignment horizontal="right" wrapText="1"/>
    </xf>
    <xf numFmtId="0" fontId="12" fillId="18" borderId="11" xfId="0" applyFont="1" applyFill="1" applyBorder="1" applyAlignment="1">
      <alignment vertical="center" wrapText="1"/>
    </xf>
    <xf numFmtId="0" fontId="15" fillId="0" borderId="0" xfId="0" applyFont="1" applyAlignment="1"/>
    <xf numFmtId="0" fontId="12" fillId="0" borderId="24" xfId="0" applyFont="1" applyBorder="1" applyAlignment="1"/>
    <xf numFmtId="0" fontId="10" fillId="7" borderId="2" xfId="0" applyFont="1" applyFill="1" applyBorder="1" applyAlignment="1">
      <alignment horizontal="center" vertical="center" wrapText="1"/>
    </xf>
    <xf numFmtId="0" fontId="27" fillId="7" borderId="2" xfId="0" applyFont="1" applyFill="1" applyBorder="1" applyAlignment="1">
      <alignment horizontal="center" wrapText="1"/>
    </xf>
    <xf numFmtId="0" fontId="10" fillId="7" borderId="26" xfId="0" applyFont="1" applyFill="1" applyBorder="1" applyAlignment="1">
      <alignment horizontal="center" vertical="center" wrapText="1"/>
    </xf>
    <xf numFmtId="0" fontId="15" fillId="8" borderId="15" xfId="0" applyFont="1" applyFill="1" applyBorder="1" applyAlignment="1">
      <alignment horizontal="center"/>
    </xf>
    <xf numFmtId="165" fontId="15" fillId="8" borderId="16" xfId="0" applyNumberFormat="1" applyFont="1" applyFill="1" applyBorder="1" applyAlignment="1">
      <alignment horizontal="right"/>
    </xf>
    <xf numFmtId="0" fontId="12" fillId="0" borderId="17" xfId="0" applyFont="1" applyBorder="1" applyAlignment="1"/>
    <xf numFmtId="6" fontId="12" fillId="0" borderId="17" xfId="0" applyNumberFormat="1" applyFont="1" applyBorder="1" applyAlignment="1"/>
    <xf numFmtId="0" fontId="12" fillId="0" borderId="18" xfId="0" applyFont="1" applyBorder="1" applyAlignment="1"/>
    <xf numFmtId="0" fontId="15" fillId="8" borderId="19" xfId="0" applyFont="1" applyFill="1" applyBorder="1" applyAlignment="1">
      <alignment horizontal="center"/>
    </xf>
    <xf numFmtId="165" fontId="15" fillId="8" borderId="4" xfId="0" applyNumberFormat="1" applyFont="1" applyFill="1" applyBorder="1" applyAlignment="1">
      <alignment horizontal="right"/>
    </xf>
    <xf numFmtId="6" fontId="12" fillId="0" borderId="0" xfId="0" applyNumberFormat="1" applyFont="1" applyBorder="1" applyAlignment="1"/>
    <xf numFmtId="0" fontId="12" fillId="0" borderId="20" xfId="0" applyFont="1" applyBorder="1" applyAlignment="1"/>
    <xf numFmtId="6" fontId="12" fillId="0" borderId="23" xfId="0" applyNumberFormat="1" applyFont="1" applyBorder="1" applyAlignment="1"/>
    <xf numFmtId="0" fontId="15" fillId="8" borderId="21" xfId="0" applyFont="1" applyFill="1" applyBorder="1" applyAlignment="1">
      <alignment horizontal="center"/>
    </xf>
    <xf numFmtId="165" fontId="15" fillId="8" borderId="22" xfId="0" applyNumberFormat="1" applyFont="1" applyFill="1" applyBorder="1" applyAlignment="1">
      <alignment horizontal="right"/>
    </xf>
    <xf numFmtId="0" fontId="12" fillId="0" borderId="23" xfId="0" applyFont="1" applyBorder="1" applyAlignment="1"/>
    <xf numFmtId="0" fontId="15" fillId="0" borderId="17" xfId="0" applyFont="1" applyBorder="1" applyAlignment="1">
      <alignment vertical="center" wrapText="1"/>
    </xf>
    <xf numFmtId="0" fontId="15" fillId="0" borderId="18" xfId="0" applyFont="1" applyBorder="1" applyAlignment="1">
      <alignment vertical="center" wrapText="1"/>
    </xf>
    <xf numFmtId="0" fontId="15" fillId="0" borderId="0" xfId="0" applyFont="1" applyAlignment="1">
      <alignment vertical="center" wrapText="1"/>
    </xf>
    <xf numFmtId="0" fontId="12" fillId="0" borderId="0" xfId="0" applyFont="1" applyBorder="1" applyAlignment="1">
      <alignment vertical="center" wrapText="1"/>
    </xf>
    <xf numFmtId="0" fontId="12" fillId="0" borderId="20" xfId="0" applyFont="1" applyBorder="1" applyAlignment="1">
      <alignment vertical="center" wrapText="1"/>
    </xf>
    <xf numFmtId="0" fontId="12" fillId="0" borderId="0" xfId="0" applyFont="1" applyAlignment="1">
      <alignment vertical="center" wrapText="1"/>
    </xf>
    <xf numFmtId="0" fontId="12" fillId="0" borderId="23" xfId="0" applyFont="1" applyBorder="1" applyAlignment="1">
      <alignment vertical="center"/>
    </xf>
    <xf numFmtId="0" fontId="12" fillId="0" borderId="24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15" fillId="8" borderId="28" xfId="0" applyFont="1" applyFill="1" applyBorder="1" applyAlignment="1">
      <alignment horizontal="center"/>
    </xf>
    <xf numFmtId="165" fontId="16" fillId="8" borderId="29" xfId="0" applyNumberFormat="1" applyFont="1" applyFill="1" applyBorder="1" applyAlignment="1">
      <alignment horizontal="right" wrapText="1"/>
    </xf>
    <xf numFmtId="0" fontId="12" fillId="0" borderId="30" xfId="0" applyFont="1" applyBorder="1" applyAlignment="1"/>
    <xf numFmtId="6" fontId="12" fillId="0" borderId="30" xfId="0" applyNumberFormat="1" applyFont="1" applyBorder="1" applyAlignment="1"/>
    <xf numFmtId="0" fontId="12" fillId="0" borderId="31" xfId="0" applyFont="1" applyBorder="1" applyAlignment="1"/>
    <xf numFmtId="166" fontId="12" fillId="0" borderId="27" xfId="1" applyNumberFormat="1" applyFont="1" applyBorder="1" applyAlignment="1"/>
    <xf numFmtId="0" fontId="15" fillId="8" borderId="3" xfId="0" applyFont="1" applyFill="1" applyBorder="1" applyAlignment="1">
      <alignment horizontal="center"/>
    </xf>
    <xf numFmtId="0" fontId="12" fillId="0" borderId="0" xfId="0" applyFont="1" applyFill="1" applyAlignment="1"/>
    <xf numFmtId="0" fontId="12" fillId="0" borderId="13" xfId="0" applyFont="1" applyBorder="1" applyAlignment="1"/>
    <xf numFmtId="166" fontId="12" fillId="0" borderId="13" xfId="1" applyNumberFormat="1" applyFont="1" applyBorder="1" applyAlignment="1"/>
    <xf numFmtId="0" fontId="15" fillId="0" borderId="0" xfId="0" applyFont="1" applyBorder="1"/>
    <xf numFmtId="0" fontId="16" fillId="8" borderId="3" xfId="0" applyFont="1" applyFill="1" applyBorder="1" applyAlignment="1">
      <alignment horizontal="center" wrapText="1"/>
    </xf>
    <xf numFmtId="165" fontId="16" fillId="8" borderId="4" xfId="0" applyNumberFormat="1" applyFont="1" applyFill="1" applyBorder="1" applyAlignment="1">
      <alignment horizontal="right" wrapText="1"/>
    </xf>
    <xf numFmtId="0" fontId="15" fillId="8" borderId="3" xfId="0" applyFont="1" applyFill="1" applyBorder="1" applyAlignment="1"/>
    <xf numFmtId="166" fontId="12" fillId="0" borderId="0" xfId="0" applyNumberFormat="1" applyFont="1" applyAlignment="1">
      <alignment vertical="center"/>
    </xf>
    <xf numFmtId="166" fontId="12" fillId="0" borderId="0" xfId="1" applyNumberFormat="1" applyFont="1" applyAlignment="1">
      <alignment vertical="center"/>
    </xf>
    <xf numFmtId="6" fontId="12" fillId="0" borderId="32" xfId="0" applyNumberFormat="1" applyFont="1" applyBorder="1" applyAlignment="1"/>
    <xf numFmtId="6" fontId="12" fillId="0" borderId="0" xfId="0" applyNumberFormat="1" applyFont="1" applyAlignment="1">
      <alignment vertical="center"/>
    </xf>
    <xf numFmtId="0" fontId="0" fillId="19" borderId="38" xfId="0" applyFont="1" applyFill="1" applyBorder="1" applyAlignment="1">
      <alignment wrapText="1"/>
    </xf>
    <xf numFmtId="0" fontId="20" fillId="19" borderId="38" xfId="0" applyFont="1" applyFill="1" applyBorder="1" applyAlignment="1">
      <alignment wrapText="1"/>
    </xf>
    <xf numFmtId="0" fontId="0" fillId="19" borderId="38" xfId="0" applyFont="1" applyFill="1" applyBorder="1" applyAlignment="1">
      <alignment horizontal="center" wrapText="1"/>
    </xf>
    <xf numFmtId="0" fontId="3" fillId="9" borderId="7" xfId="0" applyFont="1" applyFill="1" applyBorder="1" applyAlignment="1">
      <alignment wrapText="1"/>
    </xf>
    <xf numFmtId="0" fontId="3" fillId="10" borderId="7" xfId="0" applyFont="1" applyFill="1" applyBorder="1" applyAlignment="1">
      <alignment wrapText="1"/>
    </xf>
    <xf numFmtId="0" fontId="21" fillId="0" borderId="8" xfId="0" applyFont="1" applyBorder="1" applyAlignment="1">
      <alignment vertical="center" wrapText="1"/>
    </xf>
    <xf numFmtId="0" fontId="0" fillId="0" borderId="9" xfId="0" applyFont="1" applyBorder="1" applyAlignment="1">
      <alignment wrapText="1"/>
    </xf>
    <xf numFmtId="0" fontId="20" fillId="5" borderId="9" xfId="0" applyFont="1" applyFill="1" applyBorder="1" applyAlignment="1">
      <alignment wrapText="1"/>
    </xf>
    <xf numFmtId="164" fontId="19" fillId="0" borderId="9" xfId="0" applyNumberFormat="1" applyFont="1" applyFill="1" applyBorder="1" applyAlignment="1">
      <alignment horizontal="right" wrapText="1"/>
    </xf>
    <xf numFmtId="164" fontId="19" fillId="0" borderId="9" xfId="0" applyNumberFormat="1" applyFont="1" applyBorder="1" applyAlignment="1">
      <alignment horizontal="right" wrapText="1"/>
    </xf>
    <xf numFmtId="164" fontId="24" fillId="5" borderId="9" xfId="0" applyNumberFormat="1" applyFont="1" applyFill="1" applyBorder="1" applyAlignment="1">
      <alignment horizontal="right" wrapText="1"/>
    </xf>
    <xf numFmtId="0" fontId="0" fillId="17" borderId="46" xfId="0" applyFont="1" applyFill="1" applyBorder="1" applyAlignment="1">
      <alignment vertical="center" wrapText="1"/>
    </xf>
    <xf numFmtId="0" fontId="0" fillId="17" borderId="47" xfId="0" applyFont="1" applyFill="1" applyBorder="1" applyAlignment="1">
      <alignment vertical="center" wrapText="1"/>
    </xf>
    <xf numFmtId="0" fontId="0" fillId="0" borderId="46" xfId="0" applyFont="1" applyBorder="1" applyAlignment="1">
      <alignment wrapText="1"/>
    </xf>
    <xf numFmtId="0" fontId="3" fillId="0" borderId="47" xfId="0" applyFont="1" applyBorder="1" applyAlignment="1">
      <alignment wrapText="1"/>
    </xf>
    <xf numFmtId="0" fontId="12" fillId="9" borderId="5" xfId="0" applyFont="1" applyFill="1" applyBorder="1" applyAlignment="1">
      <alignment horizontal="right" wrapText="1"/>
    </xf>
    <xf numFmtId="0" fontId="13" fillId="9" borderId="5" xfId="0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wrapText="1"/>
    </xf>
    <xf numFmtId="0" fontId="0" fillId="9" borderId="46" xfId="0" applyFont="1" applyFill="1" applyBorder="1" applyAlignment="1">
      <alignment wrapText="1"/>
    </xf>
    <xf numFmtId="0" fontId="22" fillId="9" borderId="5" xfId="0" applyFont="1" applyFill="1" applyBorder="1" applyAlignment="1">
      <alignment wrapText="1"/>
    </xf>
    <xf numFmtId="0" fontId="3" fillId="9" borderId="47" xfId="0" applyFont="1" applyFill="1" applyBorder="1" applyAlignment="1">
      <alignment wrapText="1"/>
    </xf>
    <xf numFmtId="0" fontId="5" fillId="2" borderId="6" xfId="0" applyFont="1" applyFill="1" applyBorder="1" applyAlignment="1">
      <alignment wrapText="1"/>
    </xf>
    <xf numFmtId="0" fontId="5" fillId="2" borderId="7" xfId="0" applyFont="1" applyFill="1" applyBorder="1" applyAlignment="1">
      <alignment wrapText="1"/>
    </xf>
    <xf numFmtId="0" fontId="5" fillId="2" borderId="51" xfId="0" applyFont="1" applyFill="1" applyBorder="1" applyAlignment="1">
      <alignment wrapText="1"/>
    </xf>
    <xf numFmtId="0" fontId="5" fillId="2" borderId="52" xfId="0" applyFont="1" applyFill="1" applyBorder="1" applyAlignment="1">
      <alignment wrapText="1"/>
    </xf>
    <xf numFmtId="0" fontId="5" fillId="2" borderId="53" xfId="0" applyFont="1" applyFill="1" applyBorder="1" applyAlignment="1">
      <alignment wrapText="1"/>
    </xf>
    <xf numFmtId="0" fontId="5" fillId="2" borderId="14" xfId="0" applyFont="1" applyFill="1" applyBorder="1" applyAlignment="1">
      <alignment wrapText="1"/>
    </xf>
    <xf numFmtId="167" fontId="12" fillId="0" borderId="39" xfId="0" applyNumberFormat="1" applyFont="1" applyBorder="1" applyAlignment="1"/>
    <xf numFmtId="167" fontId="12" fillId="0" borderId="40" xfId="0" applyNumberFormat="1" applyFont="1" applyBorder="1" applyAlignment="1"/>
    <xf numFmtId="167" fontId="12" fillId="0" borderId="41" xfId="0" applyNumberFormat="1" applyFont="1" applyBorder="1" applyAlignment="1"/>
    <xf numFmtId="167" fontId="15" fillId="0" borderId="39" xfId="0" applyNumberFormat="1" applyFont="1" applyBorder="1" applyAlignment="1">
      <alignment vertical="center" wrapText="1"/>
    </xf>
    <xf numFmtId="167" fontId="15" fillId="0" borderId="40" xfId="0" applyNumberFormat="1" applyFont="1" applyBorder="1" applyAlignment="1">
      <alignment vertical="center" wrapText="1"/>
    </xf>
    <xf numFmtId="167" fontId="15" fillId="0" borderId="41" xfId="0" applyNumberFormat="1" applyFont="1" applyBorder="1" applyAlignment="1">
      <alignment vertical="center" wrapText="1"/>
    </xf>
    <xf numFmtId="167" fontId="12" fillId="0" borderId="30" xfId="0" applyNumberFormat="1" applyFont="1" applyBorder="1" applyAlignment="1"/>
    <xf numFmtId="167" fontId="12" fillId="0" borderId="27" xfId="0" applyNumberFormat="1" applyFont="1" applyBorder="1" applyAlignment="1"/>
    <xf numFmtId="0" fontId="18" fillId="4" borderId="5" xfId="0" applyFont="1" applyFill="1" applyBorder="1" applyAlignment="1">
      <alignment horizontal="center" wrapText="1"/>
    </xf>
    <xf numFmtId="0" fontId="28" fillId="0" borderId="0" xfId="0" applyFont="1" applyAlignment="1">
      <alignment horizontal="center"/>
    </xf>
    <xf numFmtId="0" fontId="17" fillId="0" borderId="0" xfId="0" applyFont="1" applyAlignment="1">
      <alignment vertical="center"/>
    </xf>
    <xf numFmtId="0" fontId="0" fillId="14" borderId="0" xfId="0" applyFont="1" applyFill="1" applyAlignment="1">
      <alignment horizontal="center" vertical="center"/>
    </xf>
    <xf numFmtId="0" fontId="0" fillId="14" borderId="0" xfId="0" applyFont="1" applyFill="1" applyAlignment="1">
      <alignment horizontal="center" vertical="center" wrapText="1"/>
    </xf>
    <xf numFmtId="0" fontId="12" fillId="14" borderId="54" xfId="0" applyFont="1" applyFill="1" applyBorder="1" applyAlignment="1">
      <alignment horizontal="center" vertical="center" wrapText="1"/>
    </xf>
    <xf numFmtId="166" fontId="29" fillId="0" borderId="27" xfId="1" applyNumberFormat="1" applyFont="1" applyBorder="1" applyAlignment="1">
      <alignment vertical="center"/>
    </xf>
    <xf numFmtId="166" fontId="29" fillId="0" borderId="37" xfId="1" applyNumberFormat="1" applyFont="1" applyBorder="1" applyAlignment="1">
      <alignment vertical="center"/>
    </xf>
    <xf numFmtId="0" fontId="30" fillId="0" borderId="48" xfId="0" applyFont="1" applyFill="1" applyBorder="1" applyAlignment="1">
      <alignment wrapText="1"/>
    </xf>
    <xf numFmtId="0" fontId="30" fillId="0" borderId="49" xfId="0" applyFont="1" applyFill="1" applyBorder="1" applyAlignment="1">
      <alignment wrapText="1"/>
    </xf>
    <xf numFmtId="0" fontId="31" fillId="0" borderId="49" xfId="0" applyFont="1" applyFill="1" applyBorder="1" applyAlignment="1">
      <alignment wrapText="1"/>
    </xf>
    <xf numFmtId="0" fontId="30" fillId="0" borderId="50" xfId="0" applyFont="1" applyFill="1" applyBorder="1" applyAlignment="1">
      <alignment wrapText="1"/>
    </xf>
    <xf numFmtId="0" fontId="32" fillId="2" borderId="5" xfId="0" applyFont="1" applyFill="1" applyBorder="1" applyAlignment="1">
      <alignment wrapText="1"/>
    </xf>
    <xf numFmtId="0" fontId="29" fillId="0" borderId="27" xfId="0" applyFont="1" applyBorder="1" applyAlignment="1">
      <alignment horizontal="center"/>
    </xf>
    <xf numFmtId="0" fontId="13" fillId="0" borderId="32" xfId="0" applyFont="1" applyBorder="1" applyAlignment="1"/>
    <xf numFmtId="0" fontId="13" fillId="0" borderId="0" xfId="0" applyFont="1" applyAlignment="1"/>
    <xf numFmtId="1" fontId="0" fillId="0" borderId="5" xfId="0" applyNumberFormat="1" applyFont="1" applyBorder="1" applyAlignment="1">
      <alignment horizontal="center" wrapText="1"/>
    </xf>
    <xf numFmtId="164" fontId="0" fillId="0" borderId="5" xfId="0" applyNumberFormat="1" applyFont="1" applyBorder="1" applyAlignment="1">
      <alignment horizontal="center" wrapText="1"/>
    </xf>
    <xf numFmtId="0" fontId="2" fillId="0" borderId="9" xfId="0" applyNumberFormat="1" applyFont="1" applyBorder="1" applyAlignment="1">
      <alignment horizontal="center" wrapText="1"/>
    </xf>
    <xf numFmtId="0" fontId="15" fillId="0" borderId="9" xfId="0" applyFont="1" applyBorder="1" applyAlignment="1">
      <alignment wrapText="1"/>
    </xf>
    <xf numFmtId="0" fontId="0" fillId="0" borderId="0" xfId="0"/>
    <xf numFmtId="0" fontId="12" fillId="14" borderId="0" xfId="0" applyFont="1" applyFill="1" applyAlignment="1">
      <alignment horizontal="center" vertical="center"/>
    </xf>
    <xf numFmtId="0" fontId="33" fillId="2" borderId="5" xfId="0" applyFont="1" applyFill="1" applyBorder="1" applyAlignment="1">
      <alignment horizontal="center" wrapText="1"/>
    </xf>
    <xf numFmtId="0" fontId="0" fillId="0" borderId="6" xfId="0" applyFont="1" applyBorder="1" applyAlignment="1">
      <alignment wrapText="1"/>
    </xf>
    <xf numFmtId="0" fontId="11" fillId="0" borderId="6" xfId="0" applyFont="1" applyBorder="1" applyAlignment="1">
      <alignment vertical="center" wrapText="1"/>
    </xf>
    <xf numFmtId="0" fontId="5" fillId="0" borderId="6" xfId="0" applyFont="1" applyFill="1" applyBorder="1" applyAlignment="1">
      <alignment wrapText="1"/>
    </xf>
    <xf numFmtId="0" fontId="0" fillId="9" borderId="6" xfId="0" applyFont="1" applyFill="1" applyBorder="1" applyAlignment="1">
      <alignment wrapText="1"/>
    </xf>
    <xf numFmtId="0" fontId="0" fillId="19" borderId="57" xfId="0" applyFont="1" applyFill="1" applyBorder="1" applyAlignment="1">
      <alignment wrapText="1"/>
    </xf>
    <xf numFmtId="0" fontId="0" fillId="0" borderId="58" xfId="0" applyFont="1" applyBorder="1" applyAlignment="1">
      <alignment horizontal="center" wrapText="1"/>
    </xf>
    <xf numFmtId="0" fontId="11" fillId="0" borderId="58" xfId="0" applyFont="1" applyBorder="1" applyAlignment="1">
      <alignment horizontal="center" vertical="center" wrapText="1"/>
    </xf>
    <xf numFmtId="0" fontId="2" fillId="5" borderId="58" xfId="0" applyFont="1" applyFill="1" applyBorder="1" applyAlignment="1">
      <alignment horizontal="center" wrapText="1"/>
    </xf>
    <xf numFmtId="0" fontId="0" fillId="19" borderId="59" xfId="0" applyFont="1" applyFill="1" applyBorder="1" applyAlignment="1">
      <alignment horizontal="center" wrapText="1"/>
    </xf>
    <xf numFmtId="0" fontId="23" fillId="2" borderId="10" xfId="0" applyFont="1" applyFill="1" applyBorder="1" applyAlignment="1">
      <alignment horizontal="center" vertical="center" wrapText="1"/>
    </xf>
    <xf numFmtId="0" fontId="12" fillId="17" borderId="10" xfId="0" quotePrefix="1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 wrapText="1"/>
    </xf>
    <xf numFmtId="0" fontId="3" fillId="9" borderId="10" xfId="0" applyFont="1" applyFill="1" applyBorder="1" applyAlignment="1">
      <alignment horizontal="center" wrapText="1"/>
    </xf>
    <xf numFmtId="0" fontId="25" fillId="0" borderId="60" xfId="0" applyFont="1" applyFill="1" applyBorder="1" applyAlignment="1">
      <alignment horizontal="center" vertical="center" wrapText="1"/>
    </xf>
    <xf numFmtId="0" fontId="0" fillId="17" borderId="61" xfId="0" applyFont="1" applyFill="1" applyBorder="1" applyAlignment="1">
      <alignment vertical="center" wrapText="1"/>
    </xf>
    <xf numFmtId="0" fontId="3" fillId="0" borderId="61" xfId="0" applyFont="1" applyBorder="1" applyAlignment="1">
      <alignment wrapText="1"/>
    </xf>
    <xf numFmtId="0" fontId="3" fillId="9" borderId="61" xfId="0" applyFont="1" applyFill="1" applyBorder="1" applyAlignment="1">
      <alignment wrapText="1"/>
    </xf>
    <xf numFmtId="0" fontId="30" fillId="0" borderId="62" xfId="0" applyFont="1" applyFill="1" applyBorder="1" applyAlignment="1">
      <alignment wrapText="1"/>
    </xf>
    <xf numFmtId="0" fontId="25" fillId="0" borderId="43" xfId="0" applyFont="1" applyFill="1" applyBorder="1" applyAlignment="1">
      <alignment horizontal="center" vertical="center" wrapText="1"/>
    </xf>
    <xf numFmtId="0" fontId="25" fillId="0" borderId="44" xfId="0" applyFont="1" applyFill="1" applyBorder="1" applyAlignment="1">
      <alignment horizontal="center" vertical="center" wrapText="1"/>
    </xf>
    <xf numFmtId="0" fontId="25" fillId="0" borderId="45" xfId="0" applyFont="1" applyFill="1" applyBorder="1" applyAlignment="1">
      <alignment horizontal="center" vertical="center" wrapText="1"/>
    </xf>
    <xf numFmtId="0" fontId="26" fillId="17" borderId="6" xfId="0" applyFont="1" applyFill="1" applyBorder="1" applyAlignment="1">
      <alignment horizontal="center" vertical="center" wrapText="1"/>
    </xf>
    <xf numFmtId="0" fontId="26" fillId="17" borderId="10" xfId="0" applyFont="1" applyFill="1" applyBorder="1" applyAlignment="1">
      <alignment horizontal="center" vertical="center" wrapText="1"/>
    </xf>
    <xf numFmtId="0" fontId="26" fillId="17" borderId="7" xfId="0" applyFont="1" applyFill="1" applyBorder="1" applyAlignment="1">
      <alignment horizontal="center" vertical="center" wrapText="1"/>
    </xf>
    <xf numFmtId="0" fontId="11" fillId="14" borderId="0" xfId="0" applyFont="1" applyFill="1" applyBorder="1" applyAlignment="1">
      <alignment horizontal="left" vertical="center" wrapText="1"/>
    </xf>
    <xf numFmtId="0" fontId="4" fillId="9" borderId="5" xfId="0" applyFont="1" applyFill="1" applyBorder="1" applyAlignment="1">
      <alignment horizontal="center" wrapText="1"/>
    </xf>
    <xf numFmtId="0" fontId="0" fillId="9" borderId="5" xfId="0" applyFont="1" applyFill="1" applyBorder="1" applyAlignment="1">
      <alignment wrapText="1"/>
    </xf>
    <xf numFmtId="0" fontId="0" fillId="9" borderId="8" xfId="0" applyFont="1" applyFill="1" applyBorder="1" applyAlignment="1">
      <alignment wrapText="1"/>
    </xf>
    <xf numFmtId="0" fontId="0" fillId="12" borderId="10" xfId="0" applyFont="1" applyFill="1" applyBorder="1" applyAlignment="1">
      <alignment horizontal="center" wrapText="1"/>
    </xf>
    <xf numFmtId="0" fontId="0" fillId="12" borderId="7" xfId="0" applyFont="1" applyFill="1" applyBorder="1" applyAlignment="1">
      <alignment horizontal="center" wrapText="1"/>
    </xf>
    <xf numFmtId="0" fontId="0" fillId="13" borderId="6" xfId="0" applyFont="1" applyFill="1" applyBorder="1" applyAlignment="1">
      <alignment horizontal="center" wrapText="1"/>
    </xf>
    <xf numFmtId="0" fontId="0" fillId="13" borderId="10" xfId="0" applyFont="1" applyFill="1" applyBorder="1" applyAlignment="1">
      <alignment horizontal="center" wrapText="1"/>
    </xf>
    <xf numFmtId="0" fontId="0" fillId="13" borderId="7" xfId="0" applyFont="1" applyFill="1" applyBorder="1" applyAlignment="1">
      <alignment horizontal="center" wrapText="1"/>
    </xf>
    <xf numFmtId="0" fontId="0" fillId="12" borderId="6" xfId="0" applyFont="1" applyFill="1" applyBorder="1" applyAlignment="1">
      <alignment horizontal="center" wrapText="1"/>
    </xf>
    <xf numFmtId="0" fontId="10" fillId="16" borderId="42" xfId="0" applyFont="1" applyFill="1" applyBorder="1" applyAlignment="1">
      <alignment horizontal="center" vertical="center" wrapText="1"/>
    </xf>
    <xf numFmtId="0" fontId="10" fillId="16" borderId="0" xfId="0" applyFont="1" applyFill="1" applyBorder="1" applyAlignment="1">
      <alignment horizontal="center" vertical="center" wrapText="1"/>
    </xf>
    <xf numFmtId="166" fontId="12" fillId="0" borderId="55" xfId="1" applyNumberFormat="1" applyFont="1" applyBorder="1" applyAlignment="1">
      <alignment horizontal="center" vertical="center"/>
    </xf>
    <xf numFmtId="166" fontId="12" fillId="0" borderId="56" xfId="1" applyNumberFormat="1" applyFont="1" applyBorder="1" applyAlignment="1">
      <alignment horizontal="center" vertical="center"/>
    </xf>
  </cellXfs>
  <cellStyles count="2">
    <cellStyle name="Moneda" xfId="1" builtinId="4"/>
    <cellStyle name="Normal" xfId="0" builtinId="0"/>
  </cellStyles>
  <dxfs count="5"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 patternType="solid">
          <fgColor rgb="FFF4CCCC"/>
          <bgColor rgb="FFF4CCC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111"/>
  <sheetViews>
    <sheetView tabSelected="1" workbookViewId="0">
      <selection activeCell="B2" sqref="B2:E2"/>
    </sheetView>
  </sheetViews>
  <sheetFormatPr baseColWidth="10" defaultColWidth="14.44140625" defaultRowHeight="13.2"/>
  <cols>
    <col min="1" max="1" width="19.6640625" style="24" customWidth="1"/>
    <col min="2" max="7" width="21.5546875" style="24" customWidth="1"/>
    <col min="8" max="9" width="43.5546875" style="24" customWidth="1"/>
    <col min="10" max="10" width="26.44140625" style="24" customWidth="1"/>
    <col min="11" max="13" width="21.5546875" style="24" customWidth="1"/>
    <col min="14" max="14" width="62.44140625" style="24" customWidth="1"/>
    <col min="15" max="15" width="27" style="24" customWidth="1"/>
    <col min="16" max="19" width="21.5546875" style="24" customWidth="1"/>
    <col min="20" max="20" width="29" style="24" customWidth="1"/>
    <col min="21" max="25" width="21.5546875" style="24" customWidth="1"/>
    <col min="26" max="26" width="21.5546875" style="190" customWidth="1"/>
    <col min="27" max="29" width="21.5546875" style="24" customWidth="1"/>
    <col min="30" max="30" width="12.6640625" style="77" customWidth="1"/>
    <col min="31" max="38" width="14.109375" style="24" customWidth="1"/>
    <col min="39" max="39" width="12.6640625" style="195" customWidth="1"/>
    <col min="40" max="40" width="2" style="20" customWidth="1"/>
    <col min="41" max="41" width="10.88671875" style="24" customWidth="1"/>
    <col min="42" max="42" width="6.109375" style="24" customWidth="1"/>
    <col min="43" max="43" width="9.44140625" style="28" customWidth="1"/>
    <col min="44" max="46" width="11" style="28" customWidth="1"/>
    <col min="47" max="47" width="8.6640625" style="24" customWidth="1"/>
    <col min="48" max="48" width="11.6640625" style="24" customWidth="1"/>
    <col min="49" max="49" width="8.6640625" style="24" customWidth="1"/>
    <col min="50" max="50" width="10.33203125" style="24" customWidth="1"/>
    <col min="51" max="51" width="9.6640625" style="24" customWidth="1"/>
    <col min="52" max="53" width="11.109375" style="28" customWidth="1"/>
    <col min="54" max="54" width="9.6640625" style="24" customWidth="1"/>
    <col min="55" max="55" width="10" style="24" customWidth="1"/>
    <col min="56" max="57" width="9.6640625" style="24" customWidth="1"/>
    <col min="58" max="58" width="10.44140625" style="24" customWidth="1"/>
    <col min="59" max="61" width="9.6640625" style="24" customWidth="1"/>
    <col min="62" max="62" width="8.5546875" style="28" customWidth="1"/>
    <col min="63" max="63" width="13.109375" style="24" customWidth="1"/>
    <col min="64" max="65" width="14.44140625" style="24" hidden="1" customWidth="1"/>
    <col min="66" max="16384" width="14.44140625" style="24"/>
  </cols>
  <sheetData>
    <row r="1" spans="1:65" ht="15.75" customHeight="1">
      <c r="B1" s="63"/>
      <c r="C1" s="63"/>
      <c r="D1" s="63"/>
      <c r="E1" s="63"/>
    </row>
    <row r="2" spans="1:65" s="37" customFormat="1" ht="22.95" customHeight="1">
      <c r="A2" s="73" t="s">
        <v>213</v>
      </c>
      <c r="B2" s="214"/>
      <c r="C2" s="214"/>
      <c r="D2" s="214"/>
      <c r="E2" s="214"/>
      <c r="F2" s="82" t="e">
        <f>VLOOKUP(B2,Finançament!A3:D56,2,FALSE)</f>
        <v>#N/A</v>
      </c>
      <c r="G2" s="61"/>
      <c r="Z2" s="191"/>
      <c r="AD2" s="78"/>
      <c r="AM2" s="196"/>
      <c r="AN2" s="38"/>
      <c r="AQ2" s="39"/>
      <c r="AR2" s="39"/>
      <c r="AS2" s="39"/>
      <c r="AT2" s="39"/>
      <c r="AZ2" s="39"/>
      <c r="BA2" s="39"/>
      <c r="BJ2" s="39"/>
    </row>
    <row r="3" spans="1:65" s="37" customFormat="1" ht="10.199999999999999" customHeight="1">
      <c r="A3" s="40"/>
      <c r="B3" s="40"/>
      <c r="C3" s="40"/>
      <c r="D3" s="40"/>
      <c r="E3" s="40"/>
      <c r="F3" s="36"/>
      <c r="H3" s="41"/>
      <c r="Z3" s="191"/>
      <c r="AA3" s="41"/>
      <c r="AB3" s="41"/>
      <c r="AC3" s="41"/>
      <c r="AD3" s="137"/>
      <c r="AE3" s="41"/>
      <c r="AF3" s="41"/>
      <c r="AG3" s="41"/>
      <c r="AH3" s="41"/>
      <c r="AI3" s="41"/>
      <c r="AJ3" s="41"/>
      <c r="AK3" s="41"/>
      <c r="AL3" s="41"/>
      <c r="AM3" s="196"/>
      <c r="AN3" s="38"/>
      <c r="AQ3" s="39"/>
      <c r="AR3" s="39"/>
      <c r="AS3" s="39"/>
      <c r="AT3" s="39"/>
      <c r="AZ3" s="39"/>
      <c r="BA3" s="39"/>
      <c r="BJ3" s="39"/>
    </row>
    <row r="4" spans="1:65" s="62" customFormat="1" ht="29.4" customHeight="1" thickBot="1">
      <c r="A4" s="61"/>
      <c r="B4" s="61"/>
      <c r="C4" s="61" t="s">
        <v>198</v>
      </c>
      <c r="D4" s="61"/>
      <c r="E4" s="61"/>
      <c r="F4" s="61"/>
      <c r="G4" s="61"/>
      <c r="H4" s="61" t="s">
        <v>18</v>
      </c>
      <c r="I4" s="61" t="s">
        <v>19</v>
      </c>
      <c r="J4" s="61" t="s">
        <v>20</v>
      </c>
      <c r="K4" s="61" t="s">
        <v>21</v>
      </c>
      <c r="L4" s="61" t="s">
        <v>22</v>
      </c>
      <c r="M4" s="61" t="s">
        <v>26</v>
      </c>
      <c r="N4" s="61" t="s">
        <v>24</v>
      </c>
      <c r="O4" s="61" t="s">
        <v>20</v>
      </c>
      <c r="P4" s="61" t="s">
        <v>25</v>
      </c>
      <c r="Q4" s="61" t="s">
        <v>26</v>
      </c>
      <c r="R4" s="61" t="s">
        <v>147</v>
      </c>
      <c r="S4" s="61" t="s">
        <v>27</v>
      </c>
      <c r="T4" s="61" t="s">
        <v>228</v>
      </c>
      <c r="U4" s="61" t="s">
        <v>29</v>
      </c>
      <c r="V4" s="61" t="s">
        <v>147</v>
      </c>
      <c r="W4" s="61" t="s">
        <v>26</v>
      </c>
      <c r="X4" s="61" t="s">
        <v>30</v>
      </c>
      <c r="Y4" s="61" t="s">
        <v>31</v>
      </c>
      <c r="Z4" s="192" t="s">
        <v>32</v>
      </c>
      <c r="AA4" s="208" t="s">
        <v>211</v>
      </c>
      <c r="AB4" s="209"/>
      <c r="AC4" s="209"/>
      <c r="AD4" s="209"/>
      <c r="AE4" s="209"/>
      <c r="AF4" s="209"/>
      <c r="AG4" s="209"/>
      <c r="AH4" s="209"/>
      <c r="AI4" s="209"/>
      <c r="AJ4" s="209"/>
      <c r="AK4" s="210"/>
      <c r="AL4" s="203"/>
      <c r="AM4" s="199" t="s">
        <v>212</v>
      </c>
      <c r="AN4" s="135"/>
      <c r="AO4" s="211" t="s">
        <v>214</v>
      </c>
      <c r="AP4" s="212"/>
      <c r="AQ4" s="212"/>
      <c r="AR4" s="212"/>
      <c r="AS4" s="212"/>
      <c r="AT4" s="212"/>
      <c r="AU4" s="212"/>
      <c r="AV4" s="212"/>
      <c r="AW4" s="212"/>
      <c r="AX4" s="212"/>
      <c r="AY4" s="212"/>
      <c r="AZ4" s="212"/>
      <c r="BA4" s="212"/>
      <c r="BB4" s="212"/>
      <c r="BC4" s="212"/>
      <c r="BD4" s="212"/>
      <c r="BE4" s="212"/>
      <c r="BF4" s="212"/>
      <c r="BG4" s="212"/>
      <c r="BH4" s="212"/>
      <c r="BI4" s="212"/>
      <c r="BJ4" s="212"/>
      <c r="BK4" s="212"/>
      <c r="BL4" s="212"/>
      <c r="BM4" s="213"/>
    </row>
    <row r="5" spans="1:65" s="35" customFormat="1" ht="36.6" customHeight="1" thickBot="1">
      <c r="A5" s="65" t="s">
        <v>158</v>
      </c>
      <c r="B5" s="66"/>
      <c r="C5" s="70"/>
      <c r="D5" s="67"/>
      <c r="E5" s="68"/>
      <c r="F5" s="68"/>
      <c r="G5" s="66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86"/>
      <c r="X5" s="68"/>
      <c r="Y5" s="68"/>
      <c r="Z5" s="66"/>
      <c r="AA5" s="143"/>
      <c r="AB5" s="68"/>
      <c r="AC5" s="68"/>
      <c r="AD5" s="79"/>
      <c r="AE5" s="68"/>
      <c r="AF5" s="68"/>
      <c r="AG5" s="68"/>
      <c r="AH5" s="68"/>
      <c r="AI5" s="68"/>
      <c r="AJ5" s="68"/>
      <c r="AK5" s="144"/>
      <c r="AL5" s="204"/>
      <c r="AM5" s="200" t="s">
        <v>196</v>
      </c>
      <c r="AN5" s="135"/>
      <c r="AO5" s="68"/>
      <c r="AP5" s="68"/>
      <c r="AQ5" s="69"/>
      <c r="AR5" s="69"/>
      <c r="AS5" s="69"/>
      <c r="AT5" s="69"/>
      <c r="AU5" s="68"/>
      <c r="AV5" s="68"/>
      <c r="AW5" s="68"/>
      <c r="AX5" s="68"/>
      <c r="AY5" s="68"/>
      <c r="AZ5" s="69"/>
      <c r="BA5" s="69"/>
      <c r="BB5" s="68"/>
      <c r="BC5" s="68"/>
      <c r="BD5" s="68"/>
      <c r="BE5" s="68"/>
      <c r="BF5" s="68"/>
      <c r="BG5" s="68"/>
      <c r="BH5" s="68"/>
      <c r="BI5" s="68"/>
      <c r="BJ5" s="69"/>
      <c r="BK5" s="68"/>
      <c r="BL5" s="68"/>
      <c r="BM5" s="68"/>
    </row>
    <row r="6" spans="1:65" ht="19.95" hidden="1" customHeight="1">
      <c r="H6" s="12"/>
      <c r="I6" s="12"/>
      <c r="J6" s="12"/>
      <c r="K6" s="12"/>
      <c r="L6" s="12"/>
      <c r="N6" s="12"/>
      <c r="Q6" s="12"/>
      <c r="S6" s="12"/>
      <c r="AA6" s="145"/>
      <c r="AD6" s="80"/>
      <c r="AE6" s="13"/>
      <c r="AF6" s="13"/>
      <c r="AG6" s="13"/>
      <c r="AH6" s="13"/>
      <c r="AI6" s="13"/>
      <c r="AJ6" s="13"/>
      <c r="AK6" s="146"/>
      <c r="AL6" s="205"/>
      <c r="AM6" s="201"/>
      <c r="AN6" s="135"/>
      <c r="AO6" s="81" t="str">
        <f>LEFT(B2,3)</f>
        <v/>
      </c>
      <c r="AP6" s="85" t="e">
        <f>IF(F2="Bloc 1 - PDI",1,2)</f>
        <v>#N/A</v>
      </c>
      <c r="AQ6" s="26"/>
      <c r="AR6" s="26"/>
      <c r="AS6" s="26"/>
      <c r="AT6" s="26"/>
      <c r="AU6" s="13"/>
      <c r="AV6" s="47">
        <f>COUNTIF(AV11:AV110,"&gt;0")</f>
        <v>0</v>
      </c>
      <c r="AW6" s="47">
        <f>COUNTIF(AW11:AW110,"&gt;0")</f>
        <v>0</v>
      </c>
      <c r="AX6" s="47">
        <f>COUNTIF(AX11:AX110,"&gt;0")</f>
        <v>0</v>
      </c>
      <c r="AY6" s="47">
        <f>COUNTIF(AY11:AY110,"&gt;0")</f>
        <v>0</v>
      </c>
      <c r="AZ6" s="26"/>
      <c r="BA6" s="47">
        <f t="shared" ref="BA6:BG6" si="0">COUNTIF(BA11:BA110,"&gt;0")</f>
        <v>0</v>
      </c>
      <c r="BB6" s="47">
        <f t="shared" si="0"/>
        <v>0</v>
      </c>
      <c r="BC6" s="47">
        <f t="shared" si="0"/>
        <v>0</v>
      </c>
      <c r="BD6" s="47">
        <f t="shared" si="0"/>
        <v>0</v>
      </c>
      <c r="BE6" s="47">
        <f t="shared" si="0"/>
        <v>0</v>
      </c>
      <c r="BF6" s="47">
        <f t="shared" si="0"/>
        <v>0</v>
      </c>
      <c r="BG6" s="47">
        <f t="shared" si="0"/>
        <v>0</v>
      </c>
      <c r="BH6" s="47"/>
      <c r="BI6" s="47">
        <f>COUNTIF(BI11:BI110,"&gt;0")</f>
        <v>0</v>
      </c>
      <c r="BJ6" s="183"/>
      <c r="BK6" s="13"/>
      <c r="BL6" s="13"/>
      <c r="BM6" s="13"/>
    </row>
    <row r="7" spans="1:65" ht="25.95" hidden="1" customHeight="1">
      <c r="H7" s="12"/>
      <c r="I7" s="12"/>
      <c r="J7" s="12"/>
      <c r="K7" s="12"/>
      <c r="L7" s="12"/>
      <c r="N7" s="12"/>
      <c r="Q7" s="12"/>
      <c r="S7" s="12"/>
      <c r="AA7" s="145"/>
      <c r="AD7" s="80"/>
      <c r="AE7" s="13"/>
      <c r="AF7" s="13"/>
      <c r="AG7" s="13"/>
      <c r="AH7" s="13"/>
      <c r="AI7" s="13"/>
      <c r="AJ7" s="13"/>
      <c r="AK7" s="146"/>
      <c r="AL7" s="205"/>
      <c r="AM7" s="201"/>
      <c r="AN7" s="135"/>
      <c r="AO7" s="13"/>
      <c r="AP7" s="13"/>
      <c r="AQ7" s="26"/>
      <c r="AR7" s="26"/>
      <c r="AS7" s="26"/>
      <c r="AT7" s="26"/>
      <c r="AU7" s="13"/>
      <c r="AV7" s="30">
        <f>SUM(AV11:AV110)</f>
        <v>0</v>
      </c>
      <c r="AW7" s="30">
        <f>SUM(AW11:AW110)</f>
        <v>0</v>
      </c>
      <c r="AX7" s="30">
        <f>SUM(AX11:AX110)</f>
        <v>0</v>
      </c>
      <c r="AY7" s="30">
        <f>SUM(AY11:AY110)</f>
        <v>0</v>
      </c>
      <c r="AZ7" s="26"/>
      <c r="BA7" s="30">
        <f t="shared" ref="BA7:BG7" si="1">SUM(BA11:BA110)</f>
        <v>0</v>
      </c>
      <c r="BB7" s="30">
        <f t="shared" si="1"/>
        <v>0</v>
      </c>
      <c r="BC7" s="30">
        <f t="shared" si="1"/>
        <v>0</v>
      </c>
      <c r="BD7" s="30">
        <f t="shared" si="1"/>
        <v>0</v>
      </c>
      <c r="BE7" s="30">
        <f t="shared" si="1"/>
        <v>0</v>
      </c>
      <c r="BF7" s="30">
        <f t="shared" si="1"/>
        <v>0</v>
      </c>
      <c r="BG7" s="30">
        <f t="shared" si="1"/>
        <v>0</v>
      </c>
      <c r="BH7" s="13"/>
      <c r="BI7" s="30">
        <f>SUM(BI11:BI110)</f>
        <v>0</v>
      </c>
      <c r="BJ7" s="184"/>
      <c r="BK7" s="83">
        <f>SUM(AV7:BI7)</f>
        <v>0</v>
      </c>
      <c r="BL7" s="13"/>
      <c r="BM7" s="13"/>
    </row>
    <row r="8" spans="1:65" s="20" customFormat="1">
      <c r="A8" s="147" t="s">
        <v>230</v>
      </c>
      <c r="C8" s="148">
        <f>COUNTIF(C11:C110,"*")</f>
        <v>0</v>
      </c>
      <c r="H8" s="148">
        <f>COUNTIF(H11:H110,"*")</f>
        <v>0</v>
      </c>
      <c r="I8" s="148">
        <f>COUNTIF(I11:I110,"P*")</f>
        <v>0</v>
      </c>
      <c r="J8" s="149"/>
      <c r="K8" s="148">
        <f>COUNTIF(K11:K110,"S*")</f>
        <v>0</v>
      </c>
      <c r="L8" s="148">
        <f>COUNTIF(L11:L110,"S*")</f>
        <v>0</v>
      </c>
      <c r="M8" s="148">
        <f>COUNTIF(M11:M110,"S*")</f>
        <v>0</v>
      </c>
      <c r="N8" s="148">
        <f>COUNTIF(N11:N110,"*")</f>
        <v>0</v>
      </c>
      <c r="P8" s="148">
        <f>COUNTIF(P11:P110,"*")</f>
        <v>0</v>
      </c>
      <c r="Q8" s="148">
        <f>COUNTIF(Q11:Q110,"S*")</f>
        <v>0</v>
      </c>
      <c r="R8" s="148">
        <f>COUNTIF(R11:R110,"S*")</f>
        <v>0</v>
      </c>
      <c r="S8" s="148">
        <f>COUNTIF(S11:S110,"M*")</f>
        <v>0</v>
      </c>
      <c r="T8" s="148">
        <f>COUNTIF(T11:T110,"E*")</f>
        <v>0</v>
      </c>
      <c r="U8" s="148">
        <f>COUNTIF(U11:U110,"ETT*")</f>
        <v>0</v>
      </c>
      <c r="V8" s="148">
        <f>COUNTIF(V11:V110,"S*")</f>
        <v>0</v>
      </c>
      <c r="W8" s="148">
        <f>COUNTIF(W11:W110,"S*")</f>
        <v>0</v>
      </c>
      <c r="Z8" s="193"/>
      <c r="AA8" s="150"/>
      <c r="AD8" s="151"/>
      <c r="AE8" s="18"/>
      <c r="AF8" s="18"/>
      <c r="AG8" s="18"/>
      <c r="AH8" s="18"/>
      <c r="AI8" s="18"/>
      <c r="AJ8" s="18"/>
      <c r="AK8" s="152"/>
      <c r="AL8" s="206"/>
      <c r="AM8" s="202"/>
      <c r="AN8" s="135"/>
      <c r="AO8" s="215"/>
      <c r="AP8" s="216"/>
      <c r="AQ8" s="216"/>
      <c r="AR8" s="217"/>
      <c r="AS8" s="217"/>
      <c r="AT8" s="217"/>
      <c r="AU8" s="217"/>
      <c r="AV8" s="217"/>
      <c r="AW8" s="217"/>
      <c r="AX8" s="217"/>
      <c r="AY8" s="217"/>
      <c r="AZ8" s="217"/>
      <c r="BA8" s="217"/>
      <c r="BB8" s="217"/>
      <c r="BC8" s="217"/>
      <c r="BD8" s="217"/>
      <c r="BE8" s="217"/>
      <c r="BF8" s="217"/>
      <c r="BG8" s="217"/>
      <c r="BH8" s="217"/>
      <c r="BI8" s="217"/>
      <c r="BJ8" s="217"/>
      <c r="BK8" s="217"/>
      <c r="BL8" s="216"/>
      <c r="BM8" s="216"/>
    </row>
    <row r="9" spans="1:65" ht="19.95" customHeight="1">
      <c r="E9" s="75"/>
      <c r="F9" s="76"/>
      <c r="G9" s="76"/>
      <c r="H9" s="12"/>
      <c r="I9" s="64"/>
      <c r="J9" s="64"/>
      <c r="K9" s="64"/>
      <c r="L9" s="64"/>
      <c r="M9" s="63"/>
      <c r="N9" s="63"/>
      <c r="O9" s="63"/>
      <c r="P9" s="63"/>
      <c r="Q9" s="64"/>
      <c r="R9" s="63"/>
      <c r="S9" s="64"/>
      <c r="T9" s="63"/>
      <c r="U9" s="63"/>
      <c r="V9" s="63"/>
      <c r="W9" s="63"/>
      <c r="AA9" s="145"/>
      <c r="AD9" s="80"/>
      <c r="AE9" s="13"/>
      <c r="AF9" s="13"/>
      <c r="AG9" s="13"/>
      <c r="AH9" s="13"/>
      <c r="AI9" s="13"/>
      <c r="AJ9" s="13"/>
      <c r="AK9" s="146"/>
      <c r="AL9" s="205"/>
      <c r="AM9" s="201"/>
      <c r="AN9" s="135"/>
      <c r="AQ9" s="27"/>
      <c r="AR9" s="31"/>
      <c r="AS9" s="31"/>
      <c r="AT9" s="31"/>
      <c r="AU9" s="218" t="s">
        <v>148</v>
      </c>
      <c r="AV9" s="218"/>
      <c r="AW9" s="218"/>
      <c r="AX9" s="218"/>
      <c r="AY9" s="219"/>
      <c r="AZ9" s="220" t="s">
        <v>153</v>
      </c>
      <c r="BA9" s="221"/>
      <c r="BB9" s="221"/>
      <c r="BC9" s="222"/>
      <c r="BD9" s="33" t="s">
        <v>27</v>
      </c>
      <c r="BE9" s="220" t="s">
        <v>155</v>
      </c>
      <c r="BF9" s="221"/>
      <c r="BG9" s="222"/>
      <c r="BH9" s="223" t="s">
        <v>156</v>
      </c>
      <c r="BI9" s="219"/>
      <c r="BJ9" s="31"/>
      <c r="BK9" s="84">
        <f>SUM(BK11:BK110)</f>
        <v>0</v>
      </c>
      <c r="BL9" s="30">
        <f>SUM(BL11:BL110)</f>
        <v>42375</v>
      </c>
      <c r="BM9" s="30">
        <f t="shared" ref="BM9" si="2">SUM(BM11:BM110)</f>
        <v>-5000</v>
      </c>
    </row>
    <row r="10" spans="1:65" ht="45" customHeight="1">
      <c r="A10" s="179" t="s">
        <v>16</v>
      </c>
      <c r="B10" s="189" t="s">
        <v>237</v>
      </c>
      <c r="C10" s="14" t="s">
        <v>198</v>
      </c>
      <c r="D10" s="179" t="s">
        <v>17</v>
      </c>
      <c r="E10" s="14" t="s">
        <v>204</v>
      </c>
      <c r="F10" s="14" t="s">
        <v>205</v>
      </c>
      <c r="G10" s="14" t="s">
        <v>206</v>
      </c>
      <c r="H10" s="153" t="s">
        <v>207</v>
      </c>
      <c r="I10" s="155" t="s">
        <v>19</v>
      </c>
      <c r="J10" s="156" t="s">
        <v>20</v>
      </c>
      <c r="K10" s="156" t="s">
        <v>21</v>
      </c>
      <c r="L10" s="156" t="s">
        <v>22</v>
      </c>
      <c r="M10" s="157" t="s">
        <v>23</v>
      </c>
      <c r="N10" s="155" t="s">
        <v>24</v>
      </c>
      <c r="O10" s="156" t="s">
        <v>20</v>
      </c>
      <c r="P10" s="156" t="s">
        <v>25</v>
      </c>
      <c r="Q10" s="156" t="s">
        <v>26</v>
      </c>
      <c r="R10" s="157" t="s">
        <v>147</v>
      </c>
      <c r="S10" s="158" t="s">
        <v>27</v>
      </c>
      <c r="T10" s="158" t="s">
        <v>228</v>
      </c>
      <c r="U10" s="155" t="s">
        <v>29</v>
      </c>
      <c r="V10" s="156" t="s">
        <v>147</v>
      </c>
      <c r="W10" s="157" t="s">
        <v>26</v>
      </c>
      <c r="X10" s="154" t="s">
        <v>30</v>
      </c>
      <c r="Y10" s="14" t="s">
        <v>31</v>
      </c>
      <c r="Z10" s="153" t="s">
        <v>32</v>
      </c>
      <c r="AA10" s="175" t="s">
        <v>33</v>
      </c>
      <c r="AB10" s="176" t="s">
        <v>34</v>
      </c>
      <c r="AC10" s="176" t="s">
        <v>35</v>
      </c>
      <c r="AD10" s="177" t="s">
        <v>36</v>
      </c>
      <c r="AE10" s="176" t="s">
        <v>37</v>
      </c>
      <c r="AF10" s="176" t="s">
        <v>38</v>
      </c>
      <c r="AG10" s="176" t="s">
        <v>39</v>
      </c>
      <c r="AH10" s="176" t="s">
        <v>40</v>
      </c>
      <c r="AI10" s="176" t="s">
        <v>41</v>
      </c>
      <c r="AJ10" s="176" t="s">
        <v>42</v>
      </c>
      <c r="AK10" s="178" t="s">
        <v>43</v>
      </c>
      <c r="AL10" s="207" t="s">
        <v>238</v>
      </c>
      <c r="AM10" s="199" t="s">
        <v>212</v>
      </c>
      <c r="AN10" s="136"/>
      <c r="AO10" s="21" t="s">
        <v>44</v>
      </c>
      <c r="AP10" s="21" t="s">
        <v>45</v>
      </c>
      <c r="AQ10" s="21" t="s">
        <v>46</v>
      </c>
      <c r="AR10" s="21" t="s">
        <v>146</v>
      </c>
      <c r="AS10" s="46" t="s">
        <v>231</v>
      </c>
      <c r="AT10" s="46" t="s">
        <v>233</v>
      </c>
      <c r="AU10" s="21" t="s">
        <v>148</v>
      </c>
      <c r="AV10" s="15" t="s">
        <v>151</v>
      </c>
      <c r="AW10" s="21" t="s">
        <v>149</v>
      </c>
      <c r="AX10" s="46" t="s">
        <v>177</v>
      </c>
      <c r="AY10" s="46" t="s">
        <v>172</v>
      </c>
      <c r="AZ10" s="21" t="s">
        <v>153</v>
      </c>
      <c r="BA10" s="15" t="s">
        <v>154</v>
      </c>
      <c r="BB10" s="46" t="s">
        <v>173</v>
      </c>
      <c r="BC10" s="46" t="s">
        <v>176</v>
      </c>
      <c r="BD10" s="21" t="s">
        <v>27</v>
      </c>
      <c r="BE10" s="21" t="s">
        <v>155</v>
      </c>
      <c r="BF10" s="46" t="s">
        <v>175</v>
      </c>
      <c r="BG10" s="46" t="s">
        <v>174</v>
      </c>
      <c r="BH10" s="21" t="s">
        <v>156</v>
      </c>
      <c r="BI10" s="15" t="s">
        <v>157</v>
      </c>
      <c r="BJ10" s="167" t="s">
        <v>234</v>
      </c>
      <c r="BK10" s="15" t="s">
        <v>152</v>
      </c>
      <c r="BL10" s="46" t="s">
        <v>227</v>
      </c>
      <c r="BM10" s="167" t="s">
        <v>229</v>
      </c>
    </row>
    <row r="11" spans="1:65" ht="13.8">
      <c r="B11" s="187"/>
      <c r="H11" s="12"/>
      <c r="I11" s="34"/>
      <c r="J11" s="34"/>
      <c r="K11" s="186"/>
      <c r="L11" s="186"/>
      <c r="M11" s="186"/>
      <c r="N11" s="34"/>
      <c r="O11" s="34"/>
      <c r="P11" s="34"/>
      <c r="Q11" s="34"/>
      <c r="S11" s="34"/>
      <c r="T11" s="138"/>
      <c r="U11" s="186"/>
      <c r="V11" s="186"/>
      <c r="W11" s="186"/>
      <c r="AA11" s="138"/>
      <c r="AB11" s="138"/>
      <c r="AC11" s="138"/>
      <c r="AD11" s="139"/>
      <c r="AE11" s="140"/>
      <c r="AF11" s="141"/>
      <c r="AG11" s="141"/>
      <c r="AH11" s="141"/>
      <c r="AI11" s="142"/>
      <c r="AJ11" s="142"/>
      <c r="AK11" s="142"/>
      <c r="AL11" s="142"/>
      <c r="AM11" s="197"/>
      <c r="AN11" s="19"/>
      <c r="AO11" s="16" t="str">
        <f>$AO$6</f>
        <v/>
      </c>
      <c r="AP11" s="17" t="e">
        <f>$AP$6</f>
        <v>#N/A</v>
      </c>
      <c r="AQ11" s="25" t="str">
        <f t="shared" ref="AQ11:AQ42" si="3">IF(LEFT(C11,3)="Dir", "Sí","")</f>
        <v/>
      </c>
      <c r="AR11" s="32">
        <f t="shared" ref="AR11:AR42" si="4">IF(C11="Temps complert","PDI TC",IF(C11="Temps parcial","PDI TP",C11))</f>
        <v>0</v>
      </c>
      <c r="AS11" s="32">
        <f xml:space="preserve"> COUNTIF($B$11:B11,B11)</f>
        <v>0</v>
      </c>
      <c r="AT11" s="32" t="str">
        <f>CONCATENATE(AR11,"1",BJ11)</f>
        <v>01N</v>
      </c>
      <c r="AU11" s="22" t="str">
        <f t="shared" ref="AU11:AU42" si="5" xml:space="preserve"> IF(I11&lt;&gt;"",CONCATENATE(LEFT(I11,5),IF(J11="Linux",".L",".W")),"")</f>
        <v/>
      </c>
      <c r="AV11" s="23">
        <f>SUMIF(Calculs!$A$2:$A$33,AU11,Calculs!$B$2:$B$33)</f>
        <v>0</v>
      </c>
      <c r="AW11" s="23">
        <f xml:space="preserve"> IF(K11&lt;&gt;"",IF(LEFT(K11,1)="S", Calculs!$B$49,0),0)</f>
        <v>0</v>
      </c>
      <c r="AX11" s="23">
        <f xml:space="preserve"> IF(L11&lt;&gt;"",IF(LEFT(L11,1)="S", Calculs!$B$47,0),0)</f>
        <v>0</v>
      </c>
      <c r="AY11" s="23">
        <f xml:space="preserve"> IF(M11&lt;&gt;"",IF(LEFT(M11,1)="S", Calculs!$B$48,0),0)</f>
        <v>0</v>
      </c>
      <c r="AZ11" s="29" t="str">
        <f t="shared" ref="AZ11:AZ42" si="6" xml:space="preserve"> IF(N11&lt;&gt;"",CONCATENATE(LEFT(N11,3),IF(O11="Linux",".L",".W")),"")</f>
        <v/>
      </c>
      <c r="BA11" s="29">
        <f>SUMIF(Calculs!$A$2:$A$33,AZ11,Calculs!$B$2:$B$33)</f>
        <v>0</v>
      </c>
      <c r="BB11" s="23">
        <f xml:space="preserve"> IF(Q11&lt;&gt;"",IF(LEFT(Q11,1)="S", Calculs!$B$48,0),0)</f>
        <v>0</v>
      </c>
      <c r="BC11" s="23">
        <f xml:space="preserve"> IF(R11&lt;&gt;"",IF(LEFT(R11,1)="S", Calculs!$B$47,0),0)</f>
        <v>0</v>
      </c>
      <c r="BD11" s="23">
        <f>SUMIF(Calculs!$A$40:$A$43,LEFT(S11,2),Calculs!$B$40:$B$43)</f>
        <v>0</v>
      </c>
      <c r="BE11" s="23">
        <f xml:space="preserve"> IF(U11&lt;&gt;"",IF(LEFT(U11,3)="ETT", Calculs!$B$36,0),0)</f>
        <v>0</v>
      </c>
      <c r="BF11" s="23">
        <f xml:space="preserve"> IF(V11&lt;&gt;"",IF(LEFT(V11,1)="S", Calculs!$B$47,0),0)</f>
        <v>0</v>
      </c>
      <c r="BG11" s="23">
        <f xml:space="preserve"> IF(W11&lt;&gt;"",IF(LEFT(W11,1)="S", Calculs!$B$48,0),0)</f>
        <v>0</v>
      </c>
      <c r="BH11" s="29" t="str">
        <f t="shared" ref="BH11:BH42" si="7" xml:space="preserve"> IF(T11&lt;&gt;"",LEFT(T11,4),"")</f>
        <v/>
      </c>
      <c r="BI11" s="23">
        <f>SUMIF(Calculs!$A$32:$A$35,BH11,Calculs!$B$32:$B$35)</f>
        <v>0</v>
      </c>
      <c r="BJ11" s="185" t="str">
        <f>IF(IF(AU11&lt;&gt;"",1,0) + IF(AZ11&lt;&gt;"",1,0)+IF(BE11&lt;&gt;0,1,0)+IF(BH11&lt;&gt;"",1,0)&gt;0,"S","N")</f>
        <v>N</v>
      </c>
      <c r="BK11" s="23">
        <f>AV11+AW11+AX11+AY11+BA11+BB11+BC11+BD11+BE11+BF11+BG11+BI11</f>
        <v>0</v>
      </c>
      <c r="BL11" s="23">
        <f>IF(AND(AR11&lt;&gt;0,BJ11="S"),VLOOKUP(AR11,Calculs!$A$53:$B$58,2,FALSE), 0)</f>
        <v>0</v>
      </c>
      <c r="BM11" s="16">
        <f>BK11-BL11</f>
        <v>0</v>
      </c>
    </row>
    <row r="12" spans="1:65" ht="13.8">
      <c r="B12" s="187"/>
      <c r="H12" s="12"/>
      <c r="I12" s="34"/>
      <c r="J12" s="34"/>
      <c r="K12" s="186"/>
      <c r="L12" s="186"/>
      <c r="M12" s="186"/>
      <c r="N12" s="34"/>
      <c r="O12" s="34"/>
      <c r="P12" s="34"/>
      <c r="Q12" s="34"/>
      <c r="S12" s="34"/>
      <c r="T12" s="138"/>
      <c r="U12" s="186"/>
      <c r="V12" s="186"/>
      <c r="W12" s="186"/>
      <c r="AA12" s="138"/>
      <c r="AB12" s="138"/>
      <c r="AC12" s="138"/>
      <c r="AD12" s="139"/>
      <c r="AE12" s="140"/>
      <c r="AF12" s="141"/>
      <c r="AG12" s="141"/>
      <c r="AH12" s="141"/>
      <c r="AI12" s="142"/>
      <c r="AJ12" s="142"/>
      <c r="AK12" s="142"/>
      <c r="AL12" s="142"/>
      <c r="AM12" s="197"/>
      <c r="AN12" s="19"/>
      <c r="AO12" s="16" t="str">
        <f t="shared" ref="AO12:AO36" si="8">$AO$6</f>
        <v/>
      </c>
      <c r="AP12" s="17" t="e">
        <f t="shared" ref="AP12:AP36" si="9">$AP$6</f>
        <v>#N/A</v>
      </c>
      <c r="AQ12" s="25" t="str">
        <f t="shared" ref="AQ12:AQ36" si="10">IF(LEFT(C12,3)="Dir", "Sí","")</f>
        <v/>
      </c>
      <c r="AR12" s="32">
        <f t="shared" ref="AR12:AR36" si="11">IF(C12="Temps complert","PDI TC",IF(C12="Temps parcial","PDI TP",C12))</f>
        <v>0</v>
      </c>
      <c r="AS12" s="32">
        <f xml:space="preserve"> COUNTIF($B$11:B12,B12)</f>
        <v>0</v>
      </c>
      <c r="AT12" s="32" t="str">
        <f t="shared" ref="AT12:AT36" si="12">CONCATENATE(AR12,"1",BJ12)</f>
        <v>01N</v>
      </c>
      <c r="AU12" s="22" t="str">
        <f t="shared" ref="AU12:AU36" si="13" xml:space="preserve"> IF(I12&lt;&gt;"",CONCATENATE(LEFT(I12,5),IF(J12="Linux",".L",".W")),"")</f>
        <v/>
      </c>
      <c r="AV12" s="23">
        <f>SUMIF(Calculs!$A$2:$A$33,AU12,Calculs!$B$2:$B$33)</f>
        <v>0</v>
      </c>
      <c r="AW12" s="23">
        <f xml:space="preserve"> IF(K12&lt;&gt;"",IF(LEFT(K12,1)="S", Calculs!$B$49,0),0)</f>
        <v>0</v>
      </c>
      <c r="AX12" s="23">
        <f xml:space="preserve"> IF(L12&lt;&gt;"",IF(LEFT(L12,1)="S", Calculs!$B$47,0),0)</f>
        <v>0</v>
      </c>
      <c r="AY12" s="23">
        <f xml:space="preserve"> IF(M12&lt;&gt;"",IF(LEFT(M12,1)="S", Calculs!$B$48,0),0)</f>
        <v>0</v>
      </c>
      <c r="AZ12" s="29" t="str">
        <f t="shared" ref="AZ12:AZ36" si="14" xml:space="preserve"> IF(N12&lt;&gt;"",CONCATENATE(LEFT(N12,3),IF(O12="Linux",".L",".W")),"")</f>
        <v/>
      </c>
      <c r="BA12" s="29">
        <f>SUMIF(Calculs!$A$2:$A$33,AZ12,Calculs!$B$2:$B$33)</f>
        <v>0</v>
      </c>
      <c r="BB12" s="23">
        <f xml:space="preserve"> IF(Q12&lt;&gt;"",IF(LEFT(Q12,1)="S", Calculs!$B$48,0),0)</f>
        <v>0</v>
      </c>
      <c r="BC12" s="23">
        <f xml:space="preserve"> IF(R12&lt;&gt;"",IF(LEFT(R12,1)="S", Calculs!$B$47,0),0)</f>
        <v>0</v>
      </c>
      <c r="BD12" s="23">
        <f>SUMIF(Calculs!$A$40:$A$43,LEFT(S12,2),Calculs!$B$40:$B$43)</f>
        <v>0</v>
      </c>
      <c r="BE12" s="23">
        <f xml:space="preserve"> IF(U12&lt;&gt;"",IF(LEFT(U12,3)="ETT", Calculs!$B$36,0),0)</f>
        <v>0</v>
      </c>
      <c r="BF12" s="23">
        <f xml:space="preserve"> IF(V12&lt;&gt;"",IF(LEFT(V12,1)="S", Calculs!$B$47,0),0)</f>
        <v>0</v>
      </c>
      <c r="BG12" s="23">
        <f xml:space="preserve"> IF(W12&lt;&gt;"",IF(LEFT(W12,1)="S", Calculs!$B$48,0),0)</f>
        <v>0</v>
      </c>
      <c r="BH12" s="29" t="str">
        <f t="shared" ref="BH12:BH36" si="15" xml:space="preserve"> IF(T12&lt;&gt;"",LEFT(T12,4),"")</f>
        <v/>
      </c>
      <c r="BI12" s="23">
        <f>SUMIF(Calculs!$A$32:$A$35,BH12,Calculs!$B$32:$B$35)</f>
        <v>0</v>
      </c>
      <c r="BJ12" s="185" t="str">
        <f t="shared" ref="BJ12:BJ36" si="16">IF(IF(AU12&lt;&gt;"",1,0) + IF(AZ12&lt;&gt;"",1,0)+IF(BE12&lt;&gt;0,1,0)+IF(BH12&lt;&gt;"",1,0)&gt;0,"S","N")</f>
        <v>N</v>
      </c>
      <c r="BK12" s="23">
        <f t="shared" ref="BK12:BK36" si="17">AV12+AW12+AX12+AY12+BA12+BB12+BC12+BD12+BE12+BF12+BG12+BI12</f>
        <v>0</v>
      </c>
      <c r="BL12" s="23">
        <v>1695</v>
      </c>
      <c r="BM12" s="16">
        <v>-200</v>
      </c>
    </row>
    <row r="13" spans="1:65" ht="13.8">
      <c r="B13" s="187"/>
      <c r="H13" s="12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138"/>
      <c r="U13" s="186"/>
      <c r="V13" s="186"/>
      <c r="W13" s="186"/>
      <c r="AA13" s="138"/>
      <c r="AB13" s="138"/>
      <c r="AC13" s="138"/>
      <c r="AD13" s="139"/>
      <c r="AE13" s="140"/>
      <c r="AF13" s="141"/>
      <c r="AG13" s="141"/>
      <c r="AH13" s="141"/>
      <c r="AI13" s="142"/>
      <c r="AJ13" s="142"/>
      <c r="AK13" s="142"/>
      <c r="AL13" s="142"/>
      <c r="AM13" s="197"/>
      <c r="AN13" s="19"/>
      <c r="AO13" s="16" t="str">
        <f t="shared" si="8"/>
        <v/>
      </c>
      <c r="AP13" s="17" t="e">
        <f t="shared" si="9"/>
        <v>#N/A</v>
      </c>
      <c r="AQ13" s="25" t="str">
        <f t="shared" si="10"/>
        <v/>
      </c>
      <c r="AR13" s="32">
        <f t="shared" si="11"/>
        <v>0</v>
      </c>
      <c r="AS13" s="32">
        <f xml:space="preserve"> COUNTIF($B$11:B13,B13)</f>
        <v>0</v>
      </c>
      <c r="AT13" s="32" t="str">
        <f t="shared" si="12"/>
        <v>01N</v>
      </c>
      <c r="AU13" s="22" t="str">
        <f t="shared" si="13"/>
        <v/>
      </c>
      <c r="AV13" s="23">
        <f>SUMIF(Calculs!$A$2:$A$33,AU13,Calculs!$B$2:$B$33)</f>
        <v>0</v>
      </c>
      <c r="AW13" s="23">
        <f xml:space="preserve"> IF(K13&lt;&gt;"",IF(LEFT(K13,1)="S", Calculs!$B$49,0),0)</f>
        <v>0</v>
      </c>
      <c r="AX13" s="23">
        <f xml:space="preserve"> IF(L13&lt;&gt;"",IF(LEFT(L13,1)="S", Calculs!$B$47,0),0)</f>
        <v>0</v>
      </c>
      <c r="AY13" s="23">
        <f xml:space="preserve"> IF(M13&lt;&gt;"",IF(LEFT(M13,1)="S", Calculs!$B$48,0),0)</f>
        <v>0</v>
      </c>
      <c r="AZ13" s="29" t="str">
        <f t="shared" si="14"/>
        <v/>
      </c>
      <c r="BA13" s="29">
        <f>SUMIF(Calculs!$A$2:$A$33,AZ13,Calculs!$B$2:$B$33)</f>
        <v>0</v>
      </c>
      <c r="BB13" s="23">
        <f xml:space="preserve"> IF(Q13&lt;&gt;"",IF(LEFT(Q13,1)="S", Calculs!$B$48,0),0)</f>
        <v>0</v>
      </c>
      <c r="BC13" s="23">
        <f xml:space="preserve"> IF(R13&lt;&gt;"",IF(LEFT(R13,1)="S", Calculs!$B$47,0),0)</f>
        <v>0</v>
      </c>
      <c r="BD13" s="23">
        <f>SUMIF(Calculs!$A$40:$A$43,LEFT(S13,2),Calculs!$B$40:$B$43)</f>
        <v>0</v>
      </c>
      <c r="BE13" s="23">
        <f xml:space="preserve"> IF(U13&lt;&gt;"",IF(LEFT(U13,3)="ETT", Calculs!$B$36,0),0)</f>
        <v>0</v>
      </c>
      <c r="BF13" s="23">
        <f xml:space="preserve"> IF(V13&lt;&gt;"",IF(LEFT(V13,1)="S", Calculs!$B$47,0),0)</f>
        <v>0</v>
      </c>
      <c r="BG13" s="23">
        <f xml:space="preserve"> IF(W13&lt;&gt;"",IF(LEFT(W13,1)="S", Calculs!$B$48,0),0)</f>
        <v>0</v>
      </c>
      <c r="BH13" s="29" t="str">
        <f t="shared" si="15"/>
        <v/>
      </c>
      <c r="BI13" s="23">
        <f>SUMIF(Calculs!$A$32:$A$35,BH13,Calculs!$B$32:$B$35)</f>
        <v>0</v>
      </c>
      <c r="BJ13" s="185" t="str">
        <f t="shared" si="16"/>
        <v>N</v>
      </c>
      <c r="BK13" s="23">
        <f t="shared" si="17"/>
        <v>0</v>
      </c>
      <c r="BL13" s="23">
        <v>1695</v>
      </c>
      <c r="BM13" s="16">
        <v>-200</v>
      </c>
    </row>
    <row r="14" spans="1:65" ht="13.8">
      <c r="B14" s="187"/>
      <c r="H14" s="12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138"/>
      <c r="U14" s="186"/>
      <c r="V14" s="186"/>
      <c r="W14" s="186"/>
      <c r="AA14" s="138"/>
      <c r="AB14" s="138"/>
      <c r="AC14" s="138"/>
      <c r="AD14" s="139"/>
      <c r="AE14" s="140"/>
      <c r="AF14" s="141"/>
      <c r="AG14" s="141"/>
      <c r="AH14" s="141"/>
      <c r="AI14" s="142"/>
      <c r="AJ14" s="142"/>
      <c r="AK14" s="142"/>
      <c r="AL14" s="142"/>
      <c r="AM14" s="197"/>
      <c r="AN14" s="19"/>
      <c r="AO14" s="16" t="str">
        <f t="shared" si="8"/>
        <v/>
      </c>
      <c r="AP14" s="17" t="e">
        <f t="shared" si="9"/>
        <v>#N/A</v>
      </c>
      <c r="AQ14" s="25" t="str">
        <f t="shared" si="10"/>
        <v/>
      </c>
      <c r="AR14" s="32">
        <f t="shared" si="11"/>
        <v>0</v>
      </c>
      <c r="AS14" s="32">
        <f xml:space="preserve"> COUNTIF($B$11:B14,B14)</f>
        <v>0</v>
      </c>
      <c r="AT14" s="32" t="str">
        <f t="shared" si="12"/>
        <v>01N</v>
      </c>
      <c r="AU14" s="22" t="str">
        <f t="shared" si="13"/>
        <v/>
      </c>
      <c r="AV14" s="23">
        <f>SUMIF(Calculs!$A$2:$A$33,AU14,Calculs!$B$2:$B$33)</f>
        <v>0</v>
      </c>
      <c r="AW14" s="23">
        <f xml:space="preserve"> IF(K14&lt;&gt;"",IF(LEFT(K14,1)="S", Calculs!$B$49,0),0)</f>
        <v>0</v>
      </c>
      <c r="AX14" s="23">
        <f xml:space="preserve"> IF(L14&lt;&gt;"",IF(LEFT(L14,1)="S", Calculs!$B$47,0),0)</f>
        <v>0</v>
      </c>
      <c r="AY14" s="23">
        <f xml:space="preserve"> IF(M14&lt;&gt;"",IF(LEFT(M14,1)="S", Calculs!$B$48,0),0)</f>
        <v>0</v>
      </c>
      <c r="AZ14" s="29" t="str">
        <f t="shared" si="14"/>
        <v/>
      </c>
      <c r="BA14" s="29">
        <f>SUMIF(Calculs!$A$2:$A$33,AZ14,Calculs!$B$2:$B$33)</f>
        <v>0</v>
      </c>
      <c r="BB14" s="23">
        <f xml:space="preserve"> IF(Q14&lt;&gt;"",IF(LEFT(Q14,1)="S", Calculs!$B$48,0),0)</f>
        <v>0</v>
      </c>
      <c r="BC14" s="23">
        <f xml:space="preserve"> IF(R14&lt;&gt;"",IF(LEFT(R14,1)="S", Calculs!$B$47,0),0)</f>
        <v>0</v>
      </c>
      <c r="BD14" s="23">
        <f>SUMIF(Calculs!$A$40:$A$43,LEFT(S14,2),Calculs!$B$40:$B$43)</f>
        <v>0</v>
      </c>
      <c r="BE14" s="23">
        <f xml:space="preserve"> IF(U14&lt;&gt;"",IF(LEFT(U14,3)="ETT", Calculs!$B$36,0),0)</f>
        <v>0</v>
      </c>
      <c r="BF14" s="23">
        <f xml:space="preserve"> IF(V14&lt;&gt;"",IF(LEFT(V14,1)="S", Calculs!$B$47,0),0)</f>
        <v>0</v>
      </c>
      <c r="BG14" s="23">
        <f xml:space="preserve"> IF(W14&lt;&gt;"",IF(LEFT(W14,1)="S", Calculs!$B$48,0),0)</f>
        <v>0</v>
      </c>
      <c r="BH14" s="29" t="str">
        <f t="shared" si="15"/>
        <v/>
      </c>
      <c r="BI14" s="23">
        <f>SUMIF(Calculs!$A$32:$A$35,BH14,Calculs!$B$32:$B$35)</f>
        <v>0</v>
      </c>
      <c r="BJ14" s="185" t="str">
        <f t="shared" si="16"/>
        <v>N</v>
      </c>
      <c r="BK14" s="23">
        <f t="shared" si="17"/>
        <v>0</v>
      </c>
      <c r="BL14" s="23">
        <v>1695</v>
      </c>
      <c r="BM14" s="16">
        <v>-200</v>
      </c>
    </row>
    <row r="15" spans="1:65" ht="13.8">
      <c r="B15" s="187"/>
      <c r="H15" s="12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138"/>
      <c r="U15" s="186"/>
      <c r="V15" s="186"/>
      <c r="W15" s="186"/>
      <c r="AA15" s="138"/>
      <c r="AB15" s="138"/>
      <c r="AC15" s="138"/>
      <c r="AD15" s="139"/>
      <c r="AE15" s="140"/>
      <c r="AF15" s="141"/>
      <c r="AG15" s="141"/>
      <c r="AH15" s="141"/>
      <c r="AI15" s="142"/>
      <c r="AJ15" s="142"/>
      <c r="AK15" s="142"/>
      <c r="AL15" s="142"/>
      <c r="AM15" s="197"/>
      <c r="AN15" s="19"/>
      <c r="AO15" s="16" t="str">
        <f t="shared" si="8"/>
        <v/>
      </c>
      <c r="AP15" s="17" t="e">
        <f t="shared" si="9"/>
        <v>#N/A</v>
      </c>
      <c r="AQ15" s="25" t="str">
        <f t="shared" si="10"/>
        <v/>
      </c>
      <c r="AR15" s="32">
        <f t="shared" si="11"/>
        <v>0</v>
      </c>
      <c r="AS15" s="32">
        <f xml:space="preserve"> COUNTIF($B$11:B15,B15)</f>
        <v>0</v>
      </c>
      <c r="AT15" s="32" t="str">
        <f t="shared" si="12"/>
        <v>01N</v>
      </c>
      <c r="AU15" s="22" t="str">
        <f t="shared" si="13"/>
        <v/>
      </c>
      <c r="AV15" s="23">
        <f>SUMIF(Calculs!$A$2:$A$33,AU15,Calculs!$B$2:$B$33)</f>
        <v>0</v>
      </c>
      <c r="AW15" s="23">
        <f xml:space="preserve"> IF(K15&lt;&gt;"",IF(LEFT(K15,1)="S", Calculs!$B$49,0),0)</f>
        <v>0</v>
      </c>
      <c r="AX15" s="23">
        <f xml:space="preserve"> IF(L15&lt;&gt;"",IF(LEFT(L15,1)="S", Calculs!$B$47,0),0)</f>
        <v>0</v>
      </c>
      <c r="AY15" s="23">
        <f xml:space="preserve"> IF(M15&lt;&gt;"",IF(LEFT(M15,1)="S", Calculs!$B$48,0),0)</f>
        <v>0</v>
      </c>
      <c r="AZ15" s="29" t="str">
        <f t="shared" si="14"/>
        <v/>
      </c>
      <c r="BA15" s="29">
        <f>SUMIF(Calculs!$A$2:$A$33,AZ15,Calculs!$B$2:$B$33)</f>
        <v>0</v>
      </c>
      <c r="BB15" s="23">
        <f xml:space="preserve"> IF(Q15&lt;&gt;"",IF(LEFT(Q15,1)="S", Calculs!$B$48,0),0)</f>
        <v>0</v>
      </c>
      <c r="BC15" s="23">
        <f xml:space="preserve"> IF(R15&lt;&gt;"",IF(LEFT(R15,1)="S", Calculs!$B$47,0),0)</f>
        <v>0</v>
      </c>
      <c r="BD15" s="23">
        <f>SUMIF(Calculs!$A$40:$A$43,LEFT(S15,2),Calculs!$B$40:$B$43)</f>
        <v>0</v>
      </c>
      <c r="BE15" s="23">
        <f xml:space="preserve"> IF(U15&lt;&gt;"",IF(LEFT(U15,3)="ETT", Calculs!$B$36,0),0)</f>
        <v>0</v>
      </c>
      <c r="BF15" s="23">
        <f xml:space="preserve"> IF(V15&lt;&gt;"",IF(LEFT(V15,1)="S", Calculs!$B$47,0),0)</f>
        <v>0</v>
      </c>
      <c r="BG15" s="23">
        <f xml:space="preserve"> IF(W15&lt;&gt;"",IF(LEFT(W15,1)="S", Calculs!$B$48,0),0)</f>
        <v>0</v>
      </c>
      <c r="BH15" s="29" t="str">
        <f t="shared" si="15"/>
        <v/>
      </c>
      <c r="BI15" s="23">
        <f>SUMIF(Calculs!$A$32:$A$35,BH15,Calculs!$B$32:$B$35)</f>
        <v>0</v>
      </c>
      <c r="BJ15" s="185" t="str">
        <f t="shared" si="16"/>
        <v>N</v>
      </c>
      <c r="BK15" s="23">
        <f t="shared" si="17"/>
        <v>0</v>
      </c>
      <c r="BL15" s="23">
        <v>1695</v>
      </c>
      <c r="BM15" s="16">
        <v>-200</v>
      </c>
    </row>
    <row r="16" spans="1:65" ht="13.8">
      <c r="B16" s="187"/>
      <c r="H16" s="12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138"/>
      <c r="U16" s="186"/>
      <c r="V16" s="186"/>
      <c r="W16" s="186"/>
      <c r="AA16" s="138"/>
      <c r="AB16" s="138"/>
      <c r="AC16" s="138"/>
      <c r="AD16" s="139"/>
      <c r="AE16" s="140"/>
      <c r="AF16" s="141"/>
      <c r="AG16" s="141"/>
      <c r="AH16" s="141"/>
      <c r="AI16" s="142"/>
      <c r="AJ16" s="142"/>
      <c r="AK16" s="142"/>
      <c r="AL16" s="142"/>
      <c r="AM16" s="197"/>
      <c r="AN16" s="19"/>
      <c r="AO16" s="16" t="str">
        <f t="shared" si="8"/>
        <v/>
      </c>
      <c r="AP16" s="17" t="e">
        <f t="shared" si="9"/>
        <v>#N/A</v>
      </c>
      <c r="AQ16" s="25" t="str">
        <f t="shared" si="10"/>
        <v/>
      </c>
      <c r="AR16" s="32">
        <f t="shared" si="11"/>
        <v>0</v>
      </c>
      <c r="AS16" s="32">
        <f xml:space="preserve"> COUNTIF($B$11:B16,B16)</f>
        <v>0</v>
      </c>
      <c r="AT16" s="32" t="str">
        <f t="shared" si="12"/>
        <v>01N</v>
      </c>
      <c r="AU16" s="22" t="str">
        <f t="shared" si="13"/>
        <v/>
      </c>
      <c r="AV16" s="23">
        <f>SUMIF(Calculs!$A$2:$A$33,AU16,Calculs!$B$2:$B$33)</f>
        <v>0</v>
      </c>
      <c r="AW16" s="23">
        <f xml:space="preserve"> IF(K16&lt;&gt;"",IF(LEFT(K16,1)="S", Calculs!$B$49,0),0)</f>
        <v>0</v>
      </c>
      <c r="AX16" s="23">
        <f xml:space="preserve"> IF(L16&lt;&gt;"",IF(LEFT(L16,1)="S", Calculs!$B$47,0),0)</f>
        <v>0</v>
      </c>
      <c r="AY16" s="23">
        <f xml:space="preserve"> IF(M16&lt;&gt;"",IF(LEFT(M16,1)="S", Calculs!$B$48,0),0)</f>
        <v>0</v>
      </c>
      <c r="AZ16" s="29" t="str">
        <f t="shared" si="14"/>
        <v/>
      </c>
      <c r="BA16" s="29">
        <f>SUMIF(Calculs!$A$2:$A$33,AZ16,Calculs!$B$2:$B$33)</f>
        <v>0</v>
      </c>
      <c r="BB16" s="23">
        <f xml:space="preserve"> IF(Q16&lt;&gt;"",IF(LEFT(Q16,1)="S", Calculs!$B$48,0),0)</f>
        <v>0</v>
      </c>
      <c r="BC16" s="23">
        <f xml:space="preserve"> IF(R16&lt;&gt;"",IF(LEFT(R16,1)="S", Calculs!$B$47,0),0)</f>
        <v>0</v>
      </c>
      <c r="BD16" s="23">
        <f>SUMIF(Calculs!$A$40:$A$43,LEFT(S16,2),Calculs!$B$40:$B$43)</f>
        <v>0</v>
      </c>
      <c r="BE16" s="23">
        <f xml:space="preserve"> IF(U16&lt;&gt;"",IF(LEFT(U16,3)="ETT", Calculs!$B$36,0),0)</f>
        <v>0</v>
      </c>
      <c r="BF16" s="23">
        <f xml:space="preserve"> IF(V16&lt;&gt;"",IF(LEFT(V16,1)="S", Calculs!$B$47,0),0)</f>
        <v>0</v>
      </c>
      <c r="BG16" s="23">
        <f xml:space="preserve"> IF(W16&lt;&gt;"",IF(LEFT(W16,1)="S", Calculs!$B$48,0),0)</f>
        <v>0</v>
      </c>
      <c r="BH16" s="29" t="str">
        <f t="shared" si="15"/>
        <v/>
      </c>
      <c r="BI16" s="23">
        <f>SUMIF(Calculs!$A$32:$A$35,BH16,Calculs!$B$32:$B$35)</f>
        <v>0</v>
      </c>
      <c r="BJ16" s="185" t="str">
        <f t="shared" si="16"/>
        <v>N</v>
      </c>
      <c r="BK16" s="23">
        <f t="shared" si="17"/>
        <v>0</v>
      </c>
      <c r="BL16" s="23">
        <v>1695</v>
      </c>
      <c r="BM16" s="16">
        <v>-200</v>
      </c>
    </row>
    <row r="17" spans="2:65" ht="13.8">
      <c r="B17" s="187"/>
      <c r="H17" s="12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138"/>
      <c r="U17" s="186"/>
      <c r="V17" s="186"/>
      <c r="W17" s="186"/>
      <c r="AA17" s="138"/>
      <c r="AB17" s="138"/>
      <c r="AC17" s="138"/>
      <c r="AD17" s="139"/>
      <c r="AE17" s="140"/>
      <c r="AF17" s="141"/>
      <c r="AG17" s="141"/>
      <c r="AH17" s="141"/>
      <c r="AI17" s="142"/>
      <c r="AJ17" s="142"/>
      <c r="AK17" s="142"/>
      <c r="AL17" s="142"/>
      <c r="AM17" s="197"/>
      <c r="AN17" s="19"/>
      <c r="AO17" s="16" t="str">
        <f t="shared" si="8"/>
        <v/>
      </c>
      <c r="AP17" s="17" t="e">
        <f t="shared" si="9"/>
        <v>#N/A</v>
      </c>
      <c r="AQ17" s="25" t="str">
        <f t="shared" si="10"/>
        <v/>
      </c>
      <c r="AR17" s="32">
        <f t="shared" si="11"/>
        <v>0</v>
      </c>
      <c r="AS17" s="32">
        <f xml:space="preserve"> COUNTIF($B$11:B17,B17)</f>
        <v>0</v>
      </c>
      <c r="AT17" s="32" t="str">
        <f t="shared" si="12"/>
        <v>01N</v>
      </c>
      <c r="AU17" s="22" t="str">
        <f t="shared" si="13"/>
        <v/>
      </c>
      <c r="AV17" s="23">
        <f>SUMIF(Calculs!$A$2:$A$33,AU17,Calculs!$B$2:$B$33)</f>
        <v>0</v>
      </c>
      <c r="AW17" s="23">
        <f xml:space="preserve"> IF(K17&lt;&gt;"",IF(LEFT(K17,1)="S", Calculs!$B$49,0),0)</f>
        <v>0</v>
      </c>
      <c r="AX17" s="23">
        <f xml:space="preserve"> IF(L17&lt;&gt;"",IF(LEFT(L17,1)="S", Calculs!$B$47,0),0)</f>
        <v>0</v>
      </c>
      <c r="AY17" s="23">
        <f xml:space="preserve"> IF(M17&lt;&gt;"",IF(LEFT(M17,1)="S", Calculs!$B$48,0),0)</f>
        <v>0</v>
      </c>
      <c r="AZ17" s="29" t="str">
        <f t="shared" si="14"/>
        <v/>
      </c>
      <c r="BA17" s="29">
        <f>SUMIF(Calculs!$A$2:$A$33,AZ17,Calculs!$B$2:$B$33)</f>
        <v>0</v>
      </c>
      <c r="BB17" s="23">
        <f xml:space="preserve"> IF(Q17&lt;&gt;"",IF(LEFT(Q17,1)="S", Calculs!$B$48,0),0)</f>
        <v>0</v>
      </c>
      <c r="BC17" s="23">
        <f xml:space="preserve"> IF(R17&lt;&gt;"",IF(LEFT(R17,1)="S", Calculs!$B$47,0),0)</f>
        <v>0</v>
      </c>
      <c r="BD17" s="23">
        <f>SUMIF(Calculs!$A$40:$A$43,LEFT(S17,2),Calculs!$B$40:$B$43)</f>
        <v>0</v>
      </c>
      <c r="BE17" s="23">
        <f xml:space="preserve"> IF(U17&lt;&gt;"",IF(LEFT(U17,3)="ETT", Calculs!$B$36,0),0)</f>
        <v>0</v>
      </c>
      <c r="BF17" s="23">
        <f xml:space="preserve"> IF(V17&lt;&gt;"",IF(LEFT(V17,1)="S", Calculs!$B$47,0),0)</f>
        <v>0</v>
      </c>
      <c r="BG17" s="23">
        <f xml:space="preserve"> IF(W17&lt;&gt;"",IF(LEFT(W17,1)="S", Calculs!$B$48,0),0)</f>
        <v>0</v>
      </c>
      <c r="BH17" s="29" t="str">
        <f t="shared" si="15"/>
        <v/>
      </c>
      <c r="BI17" s="23">
        <f>SUMIF(Calculs!$A$32:$A$35,BH17,Calculs!$B$32:$B$35)</f>
        <v>0</v>
      </c>
      <c r="BJ17" s="185" t="str">
        <f t="shared" si="16"/>
        <v>N</v>
      </c>
      <c r="BK17" s="23">
        <f t="shared" si="17"/>
        <v>0</v>
      </c>
      <c r="BL17" s="23">
        <v>1695</v>
      </c>
      <c r="BM17" s="16">
        <v>-200</v>
      </c>
    </row>
    <row r="18" spans="2:65" ht="13.8">
      <c r="B18" s="187"/>
      <c r="H18" s="12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138"/>
      <c r="U18" s="186"/>
      <c r="V18" s="186"/>
      <c r="W18" s="186"/>
      <c r="AA18" s="138"/>
      <c r="AB18" s="138"/>
      <c r="AC18" s="138"/>
      <c r="AD18" s="139"/>
      <c r="AE18" s="140"/>
      <c r="AF18" s="141"/>
      <c r="AG18" s="141"/>
      <c r="AH18" s="141"/>
      <c r="AI18" s="142"/>
      <c r="AJ18" s="142"/>
      <c r="AK18" s="142"/>
      <c r="AL18" s="142"/>
      <c r="AM18" s="197"/>
      <c r="AN18" s="19"/>
      <c r="AO18" s="16" t="str">
        <f t="shared" si="8"/>
        <v/>
      </c>
      <c r="AP18" s="17" t="e">
        <f t="shared" si="9"/>
        <v>#N/A</v>
      </c>
      <c r="AQ18" s="25" t="str">
        <f t="shared" si="10"/>
        <v/>
      </c>
      <c r="AR18" s="32">
        <f t="shared" si="11"/>
        <v>0</v>
      </c>
      <c r="AS18" s="32">
        <f xml:space="preserve"> COUNTIF($B$11:B18,B18)</f>
        <v>0</v>
      </c>
      <c r="AT18" s="32" t="str">
        <f t="shared" si="12"/>
        <v>01N</v>
      </c>
      <c r="AU18" s="22" t="str">
        <f t="shared" si="13"/>
        <v/>
      </c>
      <c r="AV18" s="23">
        <f>SUMIF(Calculs!$A$2:$A$33,AU18,Calculs!$B$2:$B$33)</f>
        <v>0</v>
      </c>
      <c r="AW18" s="23">
        <f xml:space="preserve"> IF(K18&lt;&gt;"",IF(LEFT(K18,1)="S", Calculs!$B$49,0),0)</f>
        <v>0</v>
      </c>
      <c r="AX18" s="23">
        <f xml:space="preserve"> IF(L18&lt;&gt;"",IF(LEFT(L18,1)="S", Calculs!$B$47,0),0)</f>
        <v>0</v>
      </c>
      <c r="AY18" s="23">
        <f xml:space="preserve"> IF(M18&lt;&gt;"",IF(LEFT(M18,1)="S", Calculs!$B$48,0),0)</f>
        <v>0</v>
      </c>
      <c r="AZ18" s="29" t="str">
        <f t="shared" si="14"/>
        <v/>
      </c>
      <c r="BA18" s="29">
        <f>SUMIF(Calculs!$A$2:$A$33,AZ18,Calculs!$B$2:$B$33)</f>
        <v>0</v>
      </c>
      <c r="BB18" s="23">
        <f xml:space="preserve"> IF(Q18&lt;&gt;"",IF(LEFT(Q18,1)="S", Calculs!$B$48,0),0)</f>
        <v>0</v>
      </c>
      <c r="BC18" s="23">
        <f xml:space="preserve"> IF(R18&lt;&gt;"",IF(LEFT(R18,1)="S", Calculs!$B$47,0),0)</f>
        <v>0</v>
      </c>
      <c r="BD18" s="23">
        <f>SUMIF(Calculs!$A$40:$A$43,LEFT(S18,2),Calculs!$B$40:$B$43)</f>
        <v>0</v>
      </c>
      <c r="BE18" s="23">
        <f xml:space="preserve"> IF(U18&lt;&gt;"",IF(LEFT(U18,3)="ETT", Calculs!$B$36,0),0)</f>
        <v>0</v>
      </c>
      <c r="BF18" s="23">
        <f xml:space="preserve"> IF(V18&lt;&gt;"",IF(LEFT(V18,1)="S", Calculs!$B$47,0),0)</f>
        <v>0</v>
      </c>
      <c r="BG18" s="23">
        <f xml:space="preserve"> IF(W18&lt;&gt;"",IF(LEFT(W18,1)="S", Calculs!$B$48,0),0)</f>
        <v>0</v>
      </c>
      <c r="BH18" s="29" t="str">
        <f t="shared" si="15"/>
        <v/>
      </c>
      <c r="BI18" s="23">
        <f>SUMIF(Calculs!$A$32:$A$35,BH18,Calculs!$B$32:$B$35)</f>
        <v>0</v>
      </c>
      <c r="BJ18" s="185" t="str">
        <f t="shared" si="16"/>
        <v>N</v>
      </c>
      <c r="BK18" s="23">
        <f t="shared" si="17"/>
        <v>0</v>
      </c>
      <c r="BL18" s="23">
        <v>1695</v>
      </c>
      <c r="BM18" s="16">
        <v>-200</v>
      </c>
    </row>
    <row r="19" spans="2:65" ht="13.8">
      <c r="B19" s="187"/>
      <c r="H19" s="12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138"/>
      <c r="U19" s="186"/>
      <c r="V19" s="186"/>
      <c r="W19" s="186"/>
      <c r="AA19" s="138"/>
      <c r="AB19" s="138"/>
      <c r="AC19" s="138"/>
      <c r="AD19" s="139"/>
      <c r="AE19" s="140"/>
      <c r="AF19" s="141"/>
      <c r="AG19" s="141"/>
      <c r="AH19" s="141"/>
      <c r="AI19" s="142"/>
      <c r="AJ19" s="142"/>
      <c r="AK19" s="142"/>
      <c r="AL19" s="142"/>
      <c r="AM19" s="197"/>
      <c r="AN19" s="19"/>
      <c r="AO19" s="16" t="str">
        <f t="shared" si="8"/>
        <v/>
      </c>
      <c r="AP19" s="17" t="e">
        <f t="shared" si="9"/>
        <v>#N/A</v>
      </c>
      <c r="AQ19" s="25" t="str">
        <f t="shared" si="10"/>
        <v/>
      </c>
      <c r="AR19" s="32">
        <f t="shared" si="11"/>
        <v>0</v>
      </c>
      <c r="AS19" s="32">
        <f xml:space="preserve"> COUNTIF($B$11:B19,B19)</f>
        <v>0</v>
      </c>
      <c r="AT19" s="32" t="str">
        <f t="shared" si="12"/>
        <v>01N</v>
      </c>
      <c r="AU19" s="22" t="str">
        <f t="shared" si="13"/>
        <v/>
      </c>
      <c r="AV19" s="23">
        <f>SUMIF(Calculs!$A$2:$A$33,AU19,Calculs!$B$2:$B$33)</f>
        <v>0</v>
      </c>
      <c r="AW19" s="23">
        <f xml:space="preserve"> IF(K19&lt;&gt;"",IF(LEFT(K19,1)="S", Calculs!$B$49,0),0)</f>
        <v>0</v>
      </c>
      <c r="AX19" s="23">
        <f xml:space="preserve"> IF(L19&lt;&gt;"",IF(LEFT(L19,1)="S", Calculs!$B$47,0),0)</f>
        <v>0</v>
      </c>
      <c r="AY19" s="23">
        <f xml:space="preserve"> IF(M19&lt;&gt;"",IF(LEFT(M19,1)="S", Calculs!$B$48,0),0)</f>
        <v>0</v>
      </c>
      <c r="AZ19" s="29" t="str">
        <f t="shared" si="14"/>
        <v/>
      </c>
      <c r="BA19" s="29">
        <f>SUMIF(Calculs!$A$2:$A$33,AZ19,Calculs!$B$2:$B$33)</f>
        <v>0</v>
      </c>
      <c r="BB19" s="23">
        <f xml:space="preserve"> IF(Q19&lt;&gt;"",IF(LEFT(Q19,1)="S", Calculs!$B$48,0),0)</f>
        <v>0</v>
      </c>
      <c r="BC19" s="23">
        <f xml:space="preserve"> IF(R19&lt;&gt;"",IF(LEFT(R19,1)="S", Calculs!$B$47,0),0)</f>
        <v>0</v>
      </c>
      <c r="BD19" s="23">
        <f>SUMIF(Calculs!$A$40:$A$43,LEFT(S19,2),Calculs!$B$40:$B$43)</f>
        <v>0</v>
      </c>
      <c r="BE19" s="23">
        <f xml:space="preserve"> IF(U19&lt;&gt;"",IF(LEFT(U19,3)="ETT", Calculs!$B$36,0),0)</f>
        <v>0</v>
      </c>
      <c r="BF19" s="23">
        <f xml:space="preserve"> IF(V19&lt;&gt;"",IF(LEFT(V19,1)="S", Calculs!$B$47,0),0)</f>
        <v>0</v>
      </c>
      <c r="BG19" s="23">
        <f xml:space="preserve"> IF(W19&lt;&gt;"",IF(LEFT(W19,1)="S", Calculs!$B$48,0),0)</f>
        <v>0</v>
      </c>
      <c r="BH19" s="29" t="str">
        <f t="shared" si="15"/>
        <v/>
      </c>
      <c r="BI19" s="23">
        <f>SUMIF(Calculs!$A$32:$A$35,BH19,Calculs!$B$32:$B$35)</f>
        <v>0</v>
      </c>
      <c r="BJ19" s="185" t="str">
        <f t="shared" si="16"/>
        <v>N</v>
      </c>
      <c r="BK19" s="23">
        <f t="shared" si="17"/>
        <v>0</v>
      </c>
      <c r="BL19" s="23">
        <v>1695</v>
      </c>
      <c r="BM19" s="16">
        <v>-200</v>
      </c>
    </row>
    <row r="20" spans="2:65" ht="13.8">
      <c r="B20" s="187"/>
      <c r="H20" s="12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138"/>
      <c r="U20" s="186"/>
      <c r="V20" s="186"/>
      <c r="W20" s="186"/>
      <c r="AA20" s="138"/>
      <c r="AB20" s="138"/>
      <c r="AC20" s="138"/>
      <c r="AD20" s="139"/>
      <c r="AE20" s="140"/>
      <c r="AF20" s="141"/>
      <c r="AG20" s="141"/>
      <c r="AH20" s="141"/>
      <c r="AI20" s="142"/>
      <c r="AJ20" s="142"/>
      <c r="AK20" s="142"/>
      <c r="AL20" s="142"/>
      <c r="AM20" s="197"/>
      <c r="AN20" s="19"/>
      <c r="AO20" s="16" t="str">
        <f t="shared" si="8"/>
        <v/>
      </c>
      <c r="AP20" s="17" t="e">
        <f t="shared" si="9"/>
        <v>#N/A</v>
      </c>
      <c r="AQ20" s="25" t="str">
        <f t="shared" si="10"/>
        <v/>
      </c>
      <c r="AR20" s="32">
        <f t="shared" si="11"/>
        <v>0</v>
      </c>
      <c r="AS20" s="32">
        <f xml:space="preserve"> COUNTIF($B$11:B20,B20)</f>
        <v>0</v>
      </c>
      <c r="AT20" s="32" t="str">
        <f t="shared" si="12"/>
        <v>01N</v>
      </c>
      <c r="AU20" s="22" t="str">
        <f t="shared" si="13"/>
        <v/>
      </c>
      <c r="AV20" s="23">
        <f>SUMIF(Calculs!$A$2:$A$33,AU20,Calculs!$B$2:$B$33)</f>
        <v>0</v>
      </c>
      <c r="AW20" s="23">
        <f xml:space="preserve"> IF(K20&lt;&gt;"",IF(LEFT(K20,1)="S", Calculs!$B$49,0),0)</f>
        <v>0</v>
      </c>
      <c r="AX20" s="23">
        <f xml:space="preserve"> IF(L20&lt;&gt;"",IF(LEFT(L20,1)="S", Calculs!$B$47,0),0)</f>
        <v>0</v>
      </c>
      <c r="AY20" s="23">
        <f xml:space="preserve"> IF(M20&lt;&gt;"",IF(LEFT(M20,1)="S", Calculs!$B$48,0),0)</f>
        <v>0</v>
      </c>
      <c r="AZ20" s="29" t="str">
        <f t="shared" si="14"/>
        <v/>
      </c>
      <c r="BA20" s="29">
        <f>SUMIF(Calculs!$A$2:$A$33,AZ20,Calculs!$B$2:$B$33)</f>
        <v>0</v>
      </c>
      <c r="BB20" s="23">
        <f xml:space="preserve"> IF(Q20&lt;&gt;"",IF(LEFT(Q20,1)="S", Calculs!$B$48,0),0)</f>
        <v>0</v>
      </c>
      <c r="BC20" s="23">
        <f xml:space="preserve"> IF(R20&lt;&gt;"",IF(LEFT(R20,1)="S", Calculs!$B$47,0),0)</f>
        <v>0</v>
      </c>
      <c r="BD20" s="23">
        <f>SUMIF(Calculs!$A$40:$A$43,LEFT(S20,2),Calculs!$B$40:$B$43)</f>
        <v>0</v>
      </c>
      <c r="BE20" s="23">
        <f xml:space="preserve"> IF(U20&lt;&gt;"",IF(LEFT(U20,3)="ETT", Calculs!$B$36,0),0)</f>
        <v>0</v>
      </c>
      <c r="BF20" s="23">
        <f xml:space="preserve"> IF(V20&lt;&gt;"",IF(LEFT(V20,1)="S", Calculs!$B$47,0),0)</f>
        <v>0</v>
      </c>
      <c r="BG20" s="23">
        <f xml:space="preserve"> IF(W20&lt;&gt;"",IF(LEFT(W20,1)="S", Calculs!$B$48,0),0)</f>
        <v>0</v>
      </c>
      <c r="BH20" s="29" t="str">
        <f t="shared" si="15"/>
        <v/>
      </c>
      <c r="BI20" s="23">
        <f>SUMIF(Calculs!$A$32:$A$35,BH20,Calculs!$B$32:$B$35)</f>
        <v>0</v>
      </c>
      <c r="BJ20" s="185" t="str">
        <f t="shared" si="16"/>
        <v>N</v>
      </c>
      <c r="BK20" s="23">
        <f t="shared" si="17"/>
        <v>0</v>
      </c>
      <c r="BL20" s="23">
        <v>1695</v>
      </c>
      <c r="BM20" s="16">
        <v>-200</v>
      </c>
    </row>
    <row r="21" spans="2:65" ht="13.8">
      <c r="B21" s="187"/>
      <c r="H21" s="12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138"/>
      <c r="U21" s="186"/>
      <c r="V21" s="186"/>
      <c r="W21" s="186"/>
      <c r="AA21" s="138"/>
      <c r="AB21" s="138"/>
      <c r="AC21" s="138"/>
      <c r="AD21" s="139"/>
      <c r="AE21" s="140"/>
      <c r="AF21" s="141"/>
      <c r="AG21" s="141"/>
      <c r="AH21" s="141"/>
      <c r="AI21" s="142"/>
      <c r="AJ21" s="142"/>
      <c r="AK21" s="142"/>
      <c r="AL21" s="142"/>
      <c r="AM21" s="197"/>
      <c r="AN21" s="19"/>
      <c r="AO21" s="16" t="str">
        <f t="shared" si="8"/>
        <v/>
      </c>
      <c r="AP21" s="17" t="e">
        <f t="shared" si="9"/>
        <v>#N/A</v>
      </c>
      <c r="AQ21" s="25" t="str">
        <f t="shared" si="10"/>
        <v/>
      </c>
      <c r="AR21" s="32">
        <f t="shared" si="11"/>
        <v>0</v>
      </c>
      <c r="AS21" s="32">
        <f xml:space="preserve"> COUNTIF($B$11:B21,B21)</f>
        <v>0</v>
      </c>
      <c r="AT21" s="32" t="str">
        <f t="shared" si="12"/>
        <v>01N</v>
      </c>
      <c r="AU21" s="22" t="str">
        <f t="shared" si="13"/>
        <v/>
      </c>
      <c r="AV21" s="23">
        <f>SUMIF(Calculs!$A$2:$A$33,AU21,Calculs!$B$2:$B$33)</f>
        <v>0</v>
      </c>
      <c r="AW21" s="23">
        <f xml:space="preserve"> IF(K21&lt;&gt;"",IF(LEFT(K21,1)="S", Calculs!$B$49,0),0)</f>
        <v>0</v>
      </c>
      <c r="AX21" s="23">
        <f xml:space="preserve"> IF(L21&lt;&gt;"",IF(LEFT(L21,1)="S", Calculs!$B$47,0),0)</f>
        <v>0</v>
      </c>
      <c r="AY21" s="23">
        <f xml:space="preserve"> IF(M21&lt;&gt;"",IF(LEFT(M21,1)="S", Calculs!$B$48,0),0)</f>
        <v>0</v>
      </c>
      <c r="AZ21" s="29" t="str">
        <f t="shared" si="14"/>
        <v/>
      </c>
      <c r="BA21" s="29">
        <f>SUMIF(Calculs!$A$2:$A$33,AZ21,Calculs!$B$2:$B$33)</f>
        <v>0</v>
      </c>
      <c r="BB21" s="23">
        <f xml:space="preserve"> IF(Q21&lt;&gt;"",IF(LEFT(Q21,1)="S", Calculs!$B$48,0),0)</f>
        <v>0</v>
      </c>
      <c r="BC21" s="23">
        <f xml:space="preserve"> IF(R21&lt;&gt;"",IF(LEFT(R21,1)="S", Calculs!$B$47,0),0)</f>
        <v>0</v>
      </c>
      <c r="BD21" s="23">
        <f>SUMIF(Calculs!$A$40:$A$43,LEFT(S21,2),Calculs!$B$40:$B$43)</f>
        <v>0</v>
      </c>
      <c r="BE21" s="23">
        <f xml:space="preserve"> IF(U21&lt;&gt;"",IF(LEFT(U21,3)="ETT", Calculs!$B$36,0),0)</f>
        <v>0</v>
      </c>
      <c r="BF21" s="23">
        <f xml:space="preserve"> IF(V21&lt;&gt;"",IF(LEFT(V21,1)="S", Calculs!$B$47,0),0)</f>
        <v>0</v>
      </c>
      <c r="BG21" s="23">
        <f xml:space="preserve"> IF(W21&lt;&gt;"",IF(LEFT(W21,1)="S", Calculs!$B$48,0),0)</f>
        <v>0</v>
      </c>
      <c r="BH21" s="29" t="str">
        <f t="shared" si="15"/>
        <v/>
      </c>
      <c r="BI21" s="23">
        <f>SUMIF(Calculs!$A$32:$A$35,BH21,Calculs!$B$32:$B$35)</f>
        <v>0</v>
      </c>
      <c r="BJ21" s="185" t="str">
        <f t="shared" si="16"/>
        <v>N</v>
      </c>
      <c r="BK21" s="23">
        <f t="shared" si="17"/>
        <v>0</v>
      </c>
      <c r="BL21" s="23">
        <v>1695</v>
      </c>
      <c r="BM21" s="16">
        <v>-200</v>
      </c>
    </row>
    <row r="22" spans="2:65" ht="13.8">
      <c r="B22" s="187"/>
      <c r="H22" s="12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138"/>
      <c r="U22" s="186"/>
      <c r="V22" s="186"/>
      <c r="W22" s="186"/>
      <c r="AA22" s="138"/>
      <c r="AB22" s="138"/>
      <c r="AC22" s="138"/>
      <c r="AD22" s="139"/>
      <c r="AE22" s="140"/>
      <c r="AF22" s="141"/>
      <c r="AG22" s="141"/>
      <c r="AH22" s="141"/>
      <c r="AI22" s="142"/>
      <c r="AJ22" s="142"/>
      <c r="AK22" s="142"/>
      <c r="AL22" s="142"/>
      <c r="AM22" s="197"/>
      <c r="AN22" s="19"/>
      <c r="AO22" s="16" t="str">
        <f t="shared" si="8"/>
        <v/>
      </c>
      <c r="AP22" s="17" t="e">
        <f t="shared" si="9"/>
        <v>#N/A</v>
      </c>
      <c r="AQ22" s="25" t="str">
        <f t="shared" si="10"/>
        <v/>
      </c>
      <c r="AR22" s="32">
        <f t="shared" si="11"/>
        <v>0</v>
      </c>
      <c r="AS22" s="32">
        <f xml:space="preserve"> COUNTIF($B$11:B22,B22)</f>
        <v>0</v>
      </c>
      <c r="AT22" s="32" t="str">
        <f t="shared" si="12"/>
        <v>01N</v>
      </c>
      <c r="AU22" s="22" t="str">
        <f t="shared" si="13"/>
        <v/>
      </c>
      <c r="AV22" s="23">
        <f>SUMIF(Calculs!$A$2:$A$33,AU22,Calculs!$B$2:$B$33)</f>
        <v>0</v>
      </c>
      <c r="AW22" s="23">
        <f xml:space="preserve"> IF(K22&lt;&gt;"",IF(LEFT(K22,1)="S", Calculs!$B$49,0),0)</f>
        <v>0</v>
      </c>
      <c r="AX22" s="23">
        <f xml:space="preserve"> IF(L22&lt;&gt;"",IF(LEFT(L22,1)="S", Calculs!$B$47,0),0)</f>
        <v>0</v>
      </c>
      <c r="AY22" s="23">
        <f xml:space="preserve"> IF(M22&lt;&gt;"",IF(LEFT(M22,1)="S", Calculs!$B$48,0),0)</f>
        <v>0</v>
      </c>
      <c r="AZ22" s="29" t="str">
        <f t="shared" si="14"/>
        <v/>
      </c>
      <c r="BA22" s="29">
        <f>SUMIF(Calculs!$A$2:$A$33,AZ22,Calculs!$B$2:$B$33)</f>
        <v>0</v>
      </c>
      <c r="BB22" s="23">
        <f xml:space="preserve"> IF(Q22&lt;&gt;"",IF(LEFT(Q22,1)="S", Calculs!$B$48,0),0)</f>
        <v>0</v>
      </c>
      <c r="BC22" s="23">
        <f xml:space="preserve"> IF(R22&lt;&gt;"",IF(LEFT(R22,1)="S", Calculs!$B$47,0),0)</f>
        <v>0</v>
      </c>
      <c r="BD22" s="23">
        <f>SUMIF(Calculs!$A$40:$A$43,LEFT(S22,2),Calculs!$B$40:$B$43)</f>
        <v>0</v>
      </c>
      <c r="BE22" s="23">
        <f xml:space="preserve"> IF(U22&lt;&gt;"",IF(LEFT(U22,3)="ETT", Calculs!$B$36,0),0)</f>
        <v>0</v>
      </c>
      <c r="BF22" s="23">
        <f xml:space="preserve"> IF(V22&lt;&gt;"",IF(LEFT(V22,1)="S", Calculs!$B$47,0),0)</f>
        <v>0</v>
      </c>
      <c r="BG22" s="23">
        <f xml:space="preserve"> IF(W22&lt;&gt;"",IF(LEFT(W22,1)="S", Calculs!$B$48,0),0)</f>
        <v>0</v>
      </c>
      <c r="BH22" s="29" t="str">
        <f t="shared" si="15"/>
        <v/>
      </c>
      <c r="BI22" s="23">
        <f>SUMIF(Calculs!$A$32:$A$35,BH22,Calculs!$B$32:$B$35)</f>
        <v>0</v>
      </c>
      <c r="BJ22" s="185" t="str">
        <f t="shared" si="16"/>
        <v>N</v>
      </c>
      <c r="BK22" s="23">
        <f t="shared" si="17"/>
        <v>0</v>
      </c>
      <c r="BL22" s="23">
        <v>1695</v>
      </c>
      <c r="BM22" s="16">
        <v>-200</v>
      </c>
    </row>
    <row r="23" spans="2:65" ht="13.8">
      <c r="B23" s="187"/>
      <c r="H23" s="12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138"/>
      <c r="U23" s="186"/>
      <c r="V23" s="186"/>
      <c r="W23" s="186"/>
      <c r="AA23" s="138"/>
      <c r="AB23" s="138"/>
      <c r="AC23" s="138"/>
      <c r="AD23" s="139"/>
      <c r="AE23" s="140"/>
      <c r="AF23" s="141"/>
      <c r="AG23" s="141"/>
      <c r="AH23" s="141"/>
      <c r="AI23" s="142"/>
      <c r="AJ23" s="142"/>
      <c r="AK23" s="142"/>
      <c r="AL23" s="142"/>
      <c r="AM23" s="197"/>
      <c r="AN23" s="19"/>
      <c r="AO23" s="16" t="str">
        <f t="shared" si="8"/>
        <v/>
      </c>
      <c r="AP23" s="17" t="e">
        <f t="shared" si="9"/>
        <v>#N/A</v>
      </c>
      <c r="AQ23" s="25" t="str">
        <f t="shared" si="10"/>
        <v/>
      </c>
      <c r="AR23" s="32">
        <f t="shared" si="11"/>
        <v>0</v>
      </c>
      <c r="AS23" s="32">
        <f xml:space="preserve"> COUNTIF($B$11:B23,B23)</f>
        <v>0</v>
      </c>
      <c r="AT23" s="32" t="str">
        <f t="shared" si="12"/>
        <v>01N</v>
      </c>
      <c r="AU23" s="22" t="str">
        <f t="shared" si="13"/>
        <v/>
      </c>
      <c r="AV23" s="23">
        <f>SUMIF(Calculs!$A$2:$A$33,AU23,Calculs!$B$2:$B$33)</f>
        <v>0</v>
      </c>
      <c r="AW23" s="23">
        <f xml:space="preserve"> IF(K23&lt;&gt;"",IF(LEFT(K23,1)="S", Calculs!$B$49,0),0)</f>
        <v>0</v>
      </c>
      <c r="AX23" s="23">
        <f xml:space="preserve"> IF(L23&lt;&gt;"",IF(LEFT(L23,1)="S", Calculs!$B$47,0),0)</f>
        <v>0</v>
      </c>
      <c r="AY23" s="23">
        <f xml:space="preserve"> IF(M23&lt;&gt;"",IF(LEFT(M23,1)="S", Calculs!$B$48,0),0)</f>
        <v>0</v>
      </c>
      <c r="AZ23" s="29" t="str">
        <f t="shared" si="14"/>
        <v/>
      </c>
      <c r="BA23" s="29">
        <f>SUMIF(Calculs!$A$2:$A$33,AZ23,Calculs!$B$2:$B$33)</f>
        <v>0</v>
      </c>
      <c r="BB23" s="23">
        <f xml:space="preserve"> IF(Q23&lt;&gt;"",IF(LEFT(Q23,1)="S", Calculs!$B$48,0),0)</f>
        <v>0</v>
      </c>
      <c r="BC23" s="23">
        <f xml:space="preserve"> IF(R23&lt;&gt;"",IF(LEFT(R23,1)="S", Calculs!$B$47,0),0)</f>
        <v>0</v>
      </c>
      <c r="BD23" s="23">
        <f>SUMIF(Calculs!$A$40:$A$43,LEFT(S23,2),Calculs!$B$40:$B$43)</f>
        <v>0</v>
      </c>
      <c r="BE23" s="23">
        <f xml:space="preserve"> IF(U23&lt;&gt;"",IF(LEFT(U23,3)="ETT", Calculs!$B$36,0),0)</f>
        <v>0</v>
      </c>
      <c r="BF23" s="23">
        <f xml:space="preserve"> IF(V23&lt;&gt;"",IF(LEFT(V23,1)="S", Calculs!$B$47,0),0)</f>
        <v>0</v>
      </c>
      <c r="BG23" s="23">
        <f xml:space="preserve"> IF(W23&lt;&gt;"",IF(LEFT(W23,1)="S", Calculs!$B$48,0),0)</f>
        <v>0</v>
      </c>
      <c r="BH23" s="29" t="str">
        <f t="shared" si="15"/>
        <v/>
      </c>
      <c r="BI23" s="23">
        <f>SUMIF(Calculs!$A$32:$A$35,BH23,Calculs!$B$32:$B$35)</f>
        <v>0</v>
      </c>
      <c r="BJ23" s="185" t="str">
        <f t="shared" si="16"/>
        <v>N</v>
      </c>
      <c r="BK23" s="23">
        <f t="shared" si="17"/>
        <v>0</v>
      </c>
      <c r="BL23" s="23">
        <v>1695</v>
      </c>
      <c r="BM23" s="16">
        <v>-200</v>
      </c>
    </row>
    <row r="24" spans="2:65" ht="13.8">
      <c r="B24" s="187"/>
      <c r="H24" s="12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138"/>
      <c r="U24" s="186"/>
      <c r="V24" s="186"/>
      <c r="W24" s="186"/>
      <c r="AA24" s="138"/>
      <c r="AB24" s="138"/>
      <c r="AC24" s="138"/>
      <c r="AD24" s="139"/>
      <c r="AE24" s="140"/>
      <c r="AF24" s="141"/>
      <c r="AG24" s="141"/>
      <c r="AH24" s="141"/>
      <c r="AI24" s="142"/>
      <c r="AJ24" s="142"/>
      <c r="AK24" s="142"/>
      <c r="AL24" s="142"/>
      <c r="AM24" s="197"/>
      <c r="AN24" s="19"/>
      <c r="AO24" s="16" t="str">
        <f t="shared" si="8"/>
        <v/>
      </c>
      <c r="AP24" s="17" t="e">
        <f t="shared" si="9"/>
        <v>#N/A</v>
      </c>
      <c r="AQ24" s="25" t="str">
        <f t="shared" si="10"/>
        <v/>
      </c>
      <c r="AR24" s="32">
        <f t="shared" si="11"/>
        <v>0</v>
      </c>
      <c r="AS24" s="32">
        <f xml:space="preserve"> COUNTIF($B$11:B24,B24)</f>
        <v>0</v>
      </c>
      <c r="AT24" s="32" t="str">
        <f t="shared" si="12"/>
        <v>01N</v>
      </c>
      <c r="AU24" s="22" t="str">
        <f t="shared" si="13"/>
        <v/>
      </c>
      <c r="AV24" s="23">
        <f>SUMIF(Calculs!$A$2:$A$33,AU24,Calculs!$B$2:$B$33)</f>
        <v>0</v>
      </c>
      <c r="AW24" s="23">
        <f xml:space="preserve"> IF(K24&lt;&gt;"",IF(LEFT(K24,1)="S", Calculs!$B$49,0),0)</f>
        <v>0</v>
      </c>
      <c r="AX24" s="23">
        <f xml:space="preserve"> IF(L24&lt;&gt;"",IF(LEFT(L24,1)="S", Calculs!$B$47,0),0)</f>
        <v>0</v>
      </c>
      <c r="AY24" s="23">
        <f xml:space="preserve"> IF(M24&lt;&gt;"",IF(LEFT(M24,1)="S", Calculs!$B$48,0),0)</f>
        <v>0</v>
      </c>
      <c r="AZ24" s="29" t="str">
        <f t="shared" si="14"/>
        <v/>
      </c>
      <c r="BA24" s="29">
        <f>SUMIF(Calculs!$A$2:$A$33,AZ24,Calculs!$B$2:$B$33)</f>
        <v>0</v>
      </c>
      <c r="BB24" s="23">
        <f xml:space="preserve"> IF(Q24&lt;&gt;"",IF(LEFT(Q24,1)="S", Calculs!$B$48,0),0)</f>
        <v>0</v>
      </c>
      <c r="BC24" s="23">
        <f xml:space="preserve"> IF(R24&lt;&gt;"",IF(LEFT(R24,1)="S", Calculs!$B$47,0),0)</f>
        <v>0</v>
      </c>
      <c r="BD24" s="23">
        <f>SUMIF(Calculs!$A$40:$A$43,LEFT(S24,2),Calculs!$B$40:$B$43)</f>
        <v>0</v>
      </c>
      <c r="BE24" s="23">
        <f xml:space="preserve"> IF(U24&lt;&gt;"",IF(LEFT(U24,3)="ETT", Calculs!$B$36,0),0)</f>
        <v>0</v>
      </c>
      <c r="BF24" s="23">
        <f xml:space="preserve"> IF(V24&lt;&gt;"",IF(LEFT(V24,1)="S", Calculs!$B$47,0),0)</f>
        <v>0</v>
      </c>
      <c r="BG24" s="23">
        <f xml:space="preserve"> IF(W24&lt;&gt;"",IF(LEFT(W24,1)="S", Calculs!$B$48,0),0)</f>
        <v>0</v>
      </c>
      <c r="BH24" s="29" t="str">
        <f t="shared" si="15"/>
        <v/>
      </c>
      <c r="BI24" s="23">
        <f>SUMIF(Calculs!$A$32:$A$35,BH24,Calculs!$B$32:$B$35)</f>
        <v>0</v>
      </c>
      <c r="BJ24" s="185" t="str">
        <f t="shared" si="16"/>
        <v>N</v>
      </c>
      <c r="BK24" s="23">
        <f t="shared" si="17"/>
        <v>0</v>
      </c>
      <c r="BL24" s="23">
        <v>1695</v>
      </c>
      <c r="BM24" s="16">
        <v>-200</v>
      </c>
    </row>
    <row r="25" spans="2:65" ht="13.8">
      <c r="B25" s="187"/>
      <c r="H25" s="12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138"/>
      <c r="U25" s="186"/>
      <c r="V25" s="186"/>
      <c r="W25" s="186"/>
      <c r="AA25" s="138"/>
      <c r="AB25" s="138"/>
      <c r="AC25" s="138"/>
      <c r="AD25" s="139"/>
      <c r="AE25" s="140"/>
      <c r="AF25" s="141"/>
      <c r="AG25" s="141"/>
      <c r="AH25" s="141"/>
      <c r="AI25" s="142"/>
      <c r="AJ25" s="142"/>
      <c r="AK25" s="142"/>
      <c r="AL25" s="142"/>
      <c r="AM25" s="197"/>
      <c r="AN25" s="19"/>
      <c r="AO25" s="16" t="str">
        <f t="shared" si="8"/>
        <v/>
      </c>
      <c r="AP25" s="17" t="e">
        <f t="shared" si="9"/>
        <v>#N/A</v>
      </c>
      <c r="AQ25" s="25" t="str">
        <f t="shared" si="10"/>
        <v/>
      </c>
      <c r="AR25" s="32">
        <f t="shared" si="11"/>
        <v>0</v>
      </c>
      <c r="AS25" s="32">
        <f xml:space="preserve"> COUNTIF($B$11:B25,B25)</f>
        <v>0</v>
      </c>
      <c r="AT25" s="32" t="str">
        <f t="shared" si="12"/>
        <v>01N</v>
      </c>
      <c r="AU25" s="22" t="str">
        <f t="shared" si="13"/>
        <v/>
      </c>
      <c r="AV25" s="23">
        <f>SUMIF(Calculs!$A$2:$A$33,AU25,Calculs!$B$2:$B$33)</f>
        <v>0</v>
      </c>
      <c r="AW25" s="23">
        <f xml:space="preserve"> IF(K25&lt;&gt;"",IF(LEFT(K25,1)="S", Calculs!$B$49,0),0)</f>
        <v>0</v>
      </c>
      <c r="AX25" s="23">
        <f xml:space="preserve"> IF(L25&lt;&gt;"",IF(LEFT(L25,1)="S", Calculs!$B$47,0),0)</f>
        <v>0</v>
      </c>
      <c r="AY25" s="23">
        <f xml:space="preserve"> IF(M25&lt;&gt;"",IF(LEFT(M25,1)="S", Calculs!$B$48,0),0)</f>
        <v>0</v>
      </c>
      <c r="AZ25" s="29" t="str">
        <f t="shared" si="14"/>
        <v/>
      </c>
      <c r="BA25" s="29">
        <f>SUMIF(Calculs!$A$2:$A$33,AZ25,Calculs!$B$2:$B$33)</f>
        <v>0</v>
      </c>
      <c r="BB25" s="23">
        <f xml:space="preserve"> IF(Q25&lt;&gt;"",IF(LEFT(Q25,1)="S", Calculs!$B$48,0),0)</f>
        <v>0</v>
      </c>
      <c r="BC25" s="23">
        <f xml:space="preserve"> IF(R25&lt;&gt;"",IF(LEFT(R25,1)="S", Calculs!$B$47,0),0)</f>
        <v>0</v>
      </c>
      <c r="BD25" s="23">
        <f>SUMIF(Calculs!$A$40:$A$43,LEFT(S25,2),Calculs!$B$40:$B$43)</f>
        <v>0</v>
      </c>
      <c r="BE25" s="23">
        <f xml:space="preserve"> IF(U25&lt;&gt;"",IF(LEFT(U25,3)="ETT", Calculs!$B$36,0),0)</f>
        <v>0</v>
      </c>
      <c r="BF25" s="23">
        <f xml:space="preserve"> IF(V25&lt;&gt;"",IF(LEFT(V25,1)="S", Calculs!$B$47,0),0)</f>
        <v>0</v>
      </c>
      <c r="BG25" s="23">
        <f xml:space="preserve"> IF(W25&lt;&gt;"",IF(LEFT(W25,1)="S", Calculs!$B$48,0),0)</f>
        <v>0</v>
      </c>
      <c r="BH25" s="29" t="str">
        <f t="shared" si="15"/>
        <v/>
      </c>
      <c r="BI25" s="23">
        <f>SUMIF(Calculs!$A$32:$A$35,BH25,Calculs!$B$32:$B$35)</f>
        <v>0</v>
      </c>
      <c r="BJ25" s="185" t="str">
        <f t="shared" si="16"/>
        <v>N</v>
      </c>
      <c r="BK25" s="23">
        <f t="shared" si="17"/>
        <v>0</v>
      </c>
      <c r="BL25" s="23">
        <v>1695</v>
      </c>
      <c r="BM25" s="16">
        <v>-200</v>
      </c>
    </row>
    <row r="26" spans="2:65" ht="13.8">
      <c r="B26" s="187"/>
      <c r="H26" s="12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138"/>
      <c r="U26" s="186"/>
      <c r="V26" s="186"/>
      <c r="W26" s="186"/>
      <c r="AA26" s="138"/>
      <c r="AB26" s="138"/>
      <c r="AC26" s="138"/>
      <c r="AD26" s="139"/>
      <c r="AE26" s="140"/>
      <c r="AF26" s="141"/>
      <c r="AG26" s="141"/>
      <c r="AH26" s="141"/>
      <c r="AI26" s="142"/>
      <c r="AJ26" s="142"/>
      <c r="AK26" s="142"/>
      <c r="AL26" s="142"/>
      <c r="AM26" s="197"/>
      <c r="AN26" s="19"/>
      <c r="AO26" s="16" t="str">
        <f t="shared" si="8"/>
        <v/>
      </c>
      <c r="AP26" s="17" t="e">
        <f t="shared" si="9"/>
        <v>#N/A</v>
      </c>
      <c r="AQ26" s="25" t="str">
        <f t="shared" si="10"/>
        <v/>
      </c>
      <c r="AR26" s="32">
        <f t="shared" si="11"/>
        <v>0</v>
      </c>
      <c r="AS26" s="32">
        <f xml:space="preserve"> COUNTIF($B$11:B26,B26)</f>
        <v>0</v>
      </c>
      <c r="AT26" s="32" t="str">
        <f t="shared" si="12"/>
        <v>01N</v>
      </c>
      <c r="AU26" s="22" t="str">
        <f t="shared" si="13"/>
        <v/>
      </c>
      <c r="AV26" s="23">
        <f>SUMIF(Calculs!$A$2:$A$33,AU26,Calculs!$B$2:$B$33)</f>
        <v>0</v>
      </c>
      <c r="AW26" s="23">
        <f xml:space="preserve"> IF(K26&lt;&gt;"",IF(LEFT(K26,1)="S", Calculs!$B$49,0),0)</f>
        <v>0</v>
      </c>
      <c r="AX26" s="23">
        <f xml:space="preserve"> IF(L26&lt;&gt;"",IF(LEFT(L26,1)="S", Calculs!$B$47,0),0)</f>
        <v>0</v>
      </c>
      <c r="AY26" s="23">
        <f xml:space="preserve"> IF(M26&lt;&gt;"",IF(LEFT(M26,1)="S", Calculs!$B$48,0),0)</f>
        <v>0</v>
      </c>
      <c r="AZ26" s="29" t="str">
        <f t="shared" si="14"/>
        <v/>
      </c>
      <c r="BA26" s="29">
        <f>SUMIF(Calculs!$A$2:$A$33,AZ26,Calculs!$B$2:$B$33)</f>
        <v>0</v>
      </c>
      <c r="BB26" s="23">
        <f xml:space="preserve"> IF(Q26&lt;&gt;"",IF(LEFT(Q26,1)="S", Calculs!$B$48,0),0)</f>
        <v>0</v>
      </c>
      <c r="BC26" s="23">
        <f xml:space="preserve"> IF(R26&lt;&gt;"",IF(LEFT(R26,1)="S", Calculs!$B$47,0),0)</f>
        <v>0</v>
      </c>
      <c r="BD26" s="23">
        <f>SUMIF(Calculs!$A$40:$A$43,LEFT(S26,2),Calculs!$B$40:$B$43)</f>
        <v>0</v>
      </c>
      <c r="BE26" s="23">
        <f xml:space="preserve"> IF(U26&lt;&gt;"",IF(LEFT(U26,3)="ETT", Calculs!$B$36,0),0)</f>
        <v>0</v>
      </c>
      <c r="BF26" s="23">
        <f xml:space="preserve"> IF(V26&lt;&gt;"",IF(LEFT(V26,1)="S", Calculs!$B$47,0),0)</f>
        <v>0</v>
      </c>
      <c r="BG26" s="23">
        <f xml:space="preserve"> IF(W26&lt;&gt;"",IF(LEFT(W26,1)="S", Calculs!$B$48,0),0)</f>
        <v>0</v>
      </c>
      <c r="BH26" s="29" t="str">
        <f t="shared" si="15"/>
        <v/>
      </c>
      <c r="BI26" s="23">
        <f>SUMIF(Calculs!$A$32:$A$35,BH26,Calculs!$B$32:$B$35)</f>
        <v>0</v>
      </c>
      <c r="BJ26" s="185" t="str">
        <f t="shared" si="16"/>
        <v>N</v>
      </c>
      <c r="BK26" s="23">
        <f t="shared" si="17"/>
        <v>0</v>
      </c>
      <c r="BL26" s="23">
        <v>1695</v>
      </c>
      <c r="BM26" s="16">
        <v>-200</v>
      </c>
    </row>
    <row r="27" spans="2:65" ht="13.8">
      <c r="B27" s="187"/>
      <c r="H27" s="12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138"/>
      <c r="U27" s="186"/>
      <c r="V27" s="186"/>
      <c r="W27" s="186"/>
      <c r="AA27" s="138"/>
      <c r="AB27" s="138"/>
      <c r="AC27" s="138"/>
      <c r="AD27" s="139"/>
      <c r="AE27" s="140"/>
      <c r="AF27" s="141"/>
      <c r="AG27" s="141"/>
      <c r="AH27" s="141"/>
      <c r="AI27" s="142"/>
      <c r="AJ27" s="142"/>
      <c r="AK27" s="142"/>
      <c r="AL27" s="142"/>
      <c r="AM27" s="197"/>
      <c r="AN27" s="19"/>
      <c r="AO27" s="16" t="str">
        <f t="shared" si="8"/>
        <v/>
      </c>
      <c r="AP27" s="17" t="e">
        <f t="shared" si="9"/>
        <v>#N/A</v>
      </c>
      <c r="AQ27" s="25" t="str">
        <f t="shared" si="10"/>
        <v/>
      </c>
      <c r="AR27" s="32">
        <f t="shared" si="11"/>
        <v>0</v>
      </c>
      <c r="AS27" s="32">
        <f xml:space="preserve"> COUNTIF($B$11:B27,B27)</f>
        <v>0</v>
      </c>
      <c r="AT27" s="32" t="str">
        <f t="shared" si="12"/>
        <v>01N</v>
      </c>
      <c r="AU27" s="22" t="str">
        <f t="shared" si="13"/>
        <v/>
      </c>
      <c r="AV27" s="23">
        <f>SUMIF(Calculs!$A$2:$A$33,AU27,Calculs!$B$2:$B$33)</f>
        <v>0</v>
      </c>
      <c r="AW27" s="23">
        <f xml:space="preserve"> IF(K27&lt;&gt;"",IF(LEFT(K27,1)="S", Calculs!$B$49,0),0)</f>
        <v>0</v>
      </c>
      <c r="AX27" s="23">
        <f xml:space="preserve"> IF(L27&lt;&gt;"",IF(LEFT(L27,1)="S", Calculs!$B$47,0),0)</f>
        <v>0</v>
      </c>
      <c r="AY27" s="23">
        <f xml:space="preserve"> IF(M27&lt;&gt;"",IF(LEFT(M27,1)="S", Calculs!$B$48,0),0)</f>
        <v>0</v>
      </c>
      <c r="AZ27" s="29" t="str">
        <f t="shared" si="14"/>
        <v/>
      </c>
      <c r="BA27" s="29">
        <f>SUMIF(Calculs!$A$2:$A$33,AZ27,Calculs!$B$2:$B$33)</f>
        <v>0</v>
      </c>
      <c r="BB27" s="23">
        <f xml:space="preserve"> IF(Q27&lt;&gt;"",IF(LEFT(Q27,1)="S", Calculs!$B$48,0),0)</f>
        <v>0</v>
      </c>
      <c r="BC27" s="23">
        <f xml:space="preserve"> IF(R27&lt;&gt;"",IF(LEFT(R27,1)="S", Calculs!$B$47,0),0)</f>
        <v>0</v>
      </c>
      <c r="BD27" s="23">
        <f>SUMIF(Calculs!$A$40:$A$43,LEFT(S27,2),Calculs!$B$40:$B$43)</f>
        <v>0</v>
      </c>
      <c r="BE27" s="23">
        <f xml:space="preserve"> IF(U27&lt;&gt;"",IF(LEFT(U27,3)="ETT", Calculs!$B$36,0),0)</f>
        <v>0</v>
      </c>
      <c r="BF27" s="23">
        <f xml:space="preserve"> IF(V27&lt;&gt;"",IF(LEFT(V27,1)="S", Calculs!$B$47,0),0)</f>
        <v>0</v>
      </c>
      <c r="BG27" s="23">
        <f xml:space="preserve"> IF(W27&lt;&gt;"",IF(LEFT(W27,1)="S", Calculs!$B$48,0),0)</f>
        <v>0</v>
      </c>
      <c r="BH27" s="29" t="str">
        <f t="shared" si="15"/>
        <v/>
      </c>
      <c r="BI27" s="23">
        <f>SUMIF(Calculs!$A$32:$A$35,BH27,Calculs!$B$32:$B$35)</f>
        <v>0</v>
      </c>
      <c r="BJ27" s="185" t="str">
        <f t="shared" si="16"/>
        <v>N</v>
      </c>
      <c r="BK27" s="23">
        <f t="shared" si="17"/>
        <v>0</v>
      </c>
      <c r="BL27" s="23">
        <v>1695</v>
      </c>
      <c r="BM27" s="16">
        <v>-200</v>
      </c>
    </row>
    <row r="28" spans="2:65" ht="13.8">
      <c r="B28" s="187"/>
      <c r="H28" s="12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138"/>
      <c r="U28" s="186"/>
      <c r="V28" s="186"/>
      <c r="W28" s="186"/>
      <c r="AA28" s="138"/>
      <c r="AB28" s="138"/>
      <c r="AC28" s="138"/>
      <c r="AD28" s="139"/>
      <c r="AE28" s="140"/>
      <c r="AF28" s="141"/>
      <c r="AG28" s="141"/>
      <c r="AH28" s="141"/>
      <c r="AI28" s="142"/>
      <c r="AJ28" s="142"/>
      <c r="AK28" s="142"/>
      <c r="AL28" s="142"/>
      <c r="AM28" s="197"/>
      <c r="AN28" s="19"/>
      <c r="AO28" s="16" t="str">
        <f t="shared" si="8"/>
        <v/>
      </c>
      <c r="AP28" s="17" t="e">
        <f t="shared" si="9"/>
        <v>#N/A</v>
      </c>
      <c r="AQ28" s="25" t="str">
        <f t="shared" si="10"/>
        <v/>
      </c>
      <c r="AR28" s="32">
        <f t="shared" si="11"/>
        <v>0</v>
      </c>
      <c r="AS28" s="32">
        <f xml:space="preserve"> COUNTIF($B$11:B28,B28)</f>
        <v>0</v>
      </c>
      <c r="AT28" s="32" t="str">
        <f t="shared" si="12"/>
        <v>01N</v>
      </c>
      <c r="AU28" s="22" t="str">
        <f t="shared" si="13"/>
        <v/>
      </c>
      <c r="AV28" s="23">
        <f>SUMIF(Calculs!$A$2:$A$33,AU28,Calculs!$B$2:$B$33)</f>
        <v>0</v>
      </c>
      <c r="AW28" s="23">
        <f xml:space="preserve"> IF(K28&lt;&gt;"",IF(LEFT(K28,1)="S", Calculs!$B$49,0),0)</f>
        <v>0</v>
      </c>
      <c r="AX28" s="23">
        <f xml:space="preserve"> IF(L28&lt;&gt;"",IF(LEFT(L28,1)="S", Calculs!$B$47,0),0)</f>
        <v>0</v>
      </c>
      <c r="AY28" s="23">
        <f xml:space="preserve"> IF(M28&lt;&gt;"",IF(LEFT(M28,1)="S", Calculs!$B$48,0),0)</f>
        <v>0</v>
      </c>
      <c r="AZ28" s="29" t="str">
        <f t="shared" si="14"/>
        <v/>
      </c>
      <c r="BA28" s="29">
        <f>SUMIF(Calculs!$A$2:$A$33,AZ28,Calculs!$B$2:$B$33)</f>
        <v>0</v>
      </c>
      <c r="BB28" s="23">
        <f xml:space="preserve"> IF(Q28&lt;&gt;"",IF(LEFT(Q28,1)="S", Calculs!$B$48,0),0)</f>
        <v>0</v>
      </c>
      <c r="BC28" s="23">
        <f xml:space="preserve"> IF(R28&lt;&gt;"",IF(LEFT(R28,1)="S", Calculs!$B$47,0),0)</f>
        <v>0</v>
      </c>
      <c r="BD28" s="23">
        <f>SUMIF(Calculs!$A$40:$A$43,LEFT(S28,2),Calculs!$B$40:$B$43)</f>
        <v>0</v>
      </c>
      <c r="BE28" s="23">
        <f xml:space="preserve"> IF(U28&lt;&gt;"",IF(LEFT(U28,3)="ETT", Calculs!$B$36,0),0)</f>
        <v>0</v>
      </c>
      <c r="BF28" s="23">
        <f xml:space="preserve"> IF(V28&lt;&gt;"",IF(LEFT(V28,1)="S", Calculs!$B$47,0),0)</f>
        <v>0</v>
      </c>
      <c r="BG28" s="23">
        <f xml:space="preserve"> IF(W28&lt;&gt;"",IF(LEFT(W28,1)="S", Calculs!$B$48,0),0)</f>
        <v>0</v>
      </c>
      <c r="BH28" s="29" t="str">
        <f t="shared" si="15"/>
        <v/>
      </c>
      <c r="BI28" s="23">
        <f>SUMIF(Calculs!$A$32:$A$35,BH28,Calculs!$B$32:$B$35)</f>
        <v>0</v>
      </c>
      <c r="BJ28" s="185" t="str">
        <f t="shared" si="16"/>
        <v>N</v>
      </c>
      <c r="BK28" s="23">
        <f t="shared" si="17"/>
        <v>0</v>
      </c>
      <c r="BL28" s="23">
        <v>1695</v>
      </c>
      <c r="BM28" s="16">
        <v>-200</v>
      </c>
    </row>
    <row r="29" spans="2:65" ht="13.8">
      <c r="B29" s="187"/>
      <c r="H29" s="12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138"/>
      <c r="U29" s="186"/>
      <c r="V29" s="186"/>
      <c r="W29" s="186"/>
      <c r="AA29" s="138"/>
      <c r="AB29" s="138"/>
      <c r="AC29" s="138"/>
      <c r="AD29" s="139"/>
      <c r="AE29" s="140"/>
      <c r="AF29" s="141"/>
      <c r="AG29" s="141"/>
      <c r="AH29" s="141"/>
      <c r="AI29" s="142"/>
      <c r="AJ29" s="142"/>
      <c r="AK29" s="142"/>
      <c r="AL29" s="142"/>
      <c r="AM29" s="197"/>
      <c r="AN29" s="19"/>
      <c r="AO29" s="16" t="str">
        <f t="shared" si="8"/>
        <v/>
      </c>
      <c r="AP29" s="17" t="e">
        <f t="shared" si="9"/>
        <v>#N/A</v>
      </c>
      <c r="AQ29" s="25" t="str">
        <f t="shared" si="10"/>
        <v/>
      </c>
      <c r="AR29" s="32">
        <f t="shared" si="11"/>
        <v>0</v>
      </c>
      <c r="AS29" s="32">
        <f xml:space="preserve"> COUNTIF($B$11:B29,B29)</f>
        <v>0</v>
      </c>
      <c r="AT29" s="32" t="str">
        <f t="shared" si="12"/>
        <v>01N</v>
      </c>
      <c r="AU29" s="22" t="str">
        <f t="shared" si="13"/>
        <v/>
      </c>
      <c r="AV29" s="23">
        <f>SUMIF(Calculs!$A$2:$A$33,AU29,Calculs!$B$2:$B$33)</f>
        <v>0</v>
      </c>
      <c r="AW29" s="23">
        <f xml:space="preserve"> IF(K29&lt;&gt;"",IF(LEFT(K29,1)="S", Calculs!$B$49,0),0)</f>
        <v>0</v>
      </c>
      <c r="AX29" s="23">
        <f xml:space="preserve"> IF(L29&lt;&gt;"",IF(LEFT(L29,1)="S", Calculs!$B$47,0),0)</f>
        <v>0</v>
      </c>
      <c r="AY29" s="23">
        <f xml:space="preserve"> IF(M29&lt;&gt;"",IF(LEFT(M29,1)="S", Calculs!$B$48,0),0)</f>
        <v>0</v>
      </c>
      <c r="AZ29" s="29" t="str">
        <f t="shared" si="14"/>
        <v/>
      </c>
      <c r="BA29" s="29">
        <f>SUMIF(Calculs!$A$2:$A$33,AZ29,Calculs!$B$2:$B$33)</f>
        <v>0</v>
      </c>
      <c r="BB29" s="23">
        <f xml:space="preserve"> IF(Q29&lt;&gt;"",IF(LEFT(Q29,1)="S", Calculs!$B$48,0),0)</f>
        <v>0</v>
      </c>
      <c r="BC29" s="23">
        <f xml:space="preserve"> IF(R29&lt;&gt;"",IF(LEFT(R29,1)="S", Calculs!$B$47,0),0)</f>
        <v>0</v>
      </c>
      <c r="BD29" s="23">
        <f>SUMIF(Calculs!$A$40:$A$43,LEFT(S29,2),Calculs!$B$40:$B$43)</f>
        <v>0</v>
      </c>
      <c r="BE29" s="23">
        <f xml:space="preserve"> IF(U29&lt;&gt;"",IF(LEFT(U29,3)="ETT", Calculs!$B$36,0),0)</f>
        <v>0</v>
      </c>
      <c r="BF29" s="23">
        <f xml:space="preserve"> IF(V29&lt;&gt;"",IF(LEFT(V29,1)="S", Calculs!$B$47,0),0)</f>
        <v>0</v>
      </c>
      <c r="BG29" s="23">
        <f xml:space="preserve"> IF(W29&lt;&gt;"",IF(LEFT(W29,1)="S", Calculs!$B$48,0),0)</f>
        <v>0</v>
      </c>
      <c r="BH29" s="29" t="str">
        <f t="shared" si="15"/>
        <v/>
      </c>
      <c r="BI29" s="23">
        <f>SUMIF(Calculs!$A$32:$A$35,BH29,Calculs!$B$32:$B$35)</f>
        <v>0</v>
      </c>
      <c r="BJ29" s="185" t="str">
        <f t="shared" si="16"/>
        <v>N</v>
      </c>
      <c r="BK29" s="23">
        <f t="shared" si="17"/>
        <v>0</v>
      </c>
      <c r="BL29" s="23">
        <v>1695</v>
      </c>
      <c r="BM29" s="16">
        <v>-200</v>
      </c>
    </row>
    <row r="30" spans="2:65" ht="13.8">
      <c r="B30" s="187"/>
      <c r="H30" s="12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138"/>
      <c r="U30" s="186"/>
      <c r="V30" s="186"/>
      <c r="W30" s="186"/>
      <c r="AA30" s="138"/>
      <c r="AB30" s="138"/>
      <c r="AC30" s="138"/>
      <c r="AD30" s="139"/>
      <c r="AE30" s="140"/>
      <c r="AF30" s="141"/>
      <c r="AG30" s="141"/>
      <c r="AH30" s="141"/>
      <c r="AI30" s="142"/>
      <c r="AJ30" s="142"/>
      <c r="AK30" s="142"/>
      <c r="AL30" s="142"/>
      <c r="AM30" s="197"/>
      <c r="AN30" s="19"/>
      <c r="AO30" s="16" t="str">
        <f t="shared" si="8"/>
        <v/>
      </c>
      <c r="AP30" s="17" t="e">
        <f t="shared" si="9"/>
        <v>#N/A</v>
      </c>
      <c r="AQ30" s="25" t="str">
        <f t="shared" si="10"/>
        <v/>
      </c>
      <c r="AR30" s="32">
        <f t="shared" si="11"/>
        <v>0</v>
      </c>
      <c r="AS30" s="32">
        <f xml:space="preserve"> COUNTIF($B$11:B30,B30)</f>
        <v>0</v>
      </c>
      <c r="AT30" s="32" t="str">
        <f t="shared" si="12"/>
        <v>01N</v>
      </c>
      <c r="AU30" s="22" t="str">
        <f t="shared" si="13"/>
        <v/>
      </c>
      <c r="AV30" s="23">
        <f>SUMIF(Calculs!$A$2:$A$33,AU30,Calculs!$B$2:$B$33)</f>
        <v>0</v>
      </c>
      <c r="AW30" s="23">
        <f xml:space="preserve"> IF(K30&lt;&gt;"",IF(LEFT(K30,1)="S", Calculs!$B$49,0),0)</f>
        <v>0</v>
      </c>
      <c r="AX30" s="23">
        <f xml:space="preserve"> IF(L30&lt;&gt;"",IF(LEFT(L30,1)="S", Calculs!$B$47,0),0)</f>
        <v>0</v>
      </c>
      <c r="AY30" s="23">
        <f xml:space="preserve"> IF(M30&lt;&gt;"",IF(LEFT(M30,1)="S", Calculs!$B$48,0),0)</f>
        <v>0</v>
      </c>
      <c r="AZ30" s="29" t="str">
        <f t="shared" si="14"/>
        <v/>
      </c>
      <c r="BA30" s="29">
        <f>SUMIF(Calculs!$A$2:$A$33,AZ30,Calculs!$B$2:$B$33)</f>
        <v>0</v>
      </c>
      <c r="BB30" s="23">
        <f xml:space="preserve"> IF(Q30&lt;&gt;"",IF(LEFT(Q30,1)="S", Calculs!$B$48,0),0)</f>
        <v>0</v>
      </c>
      <c r="BC30" s="23">
        <f xml:space="preserve"> IF(R30&lt;&gt;"",IF(LEFT(R30,1)="S", Calculs!$B$47,0),0)</f>
        <v>0</v>
      </c>
      <c r="BD30" s="23">
        <f>SUMIF(Calculs!$A$40:$A$43,LEFT(S30,2),Calculs!$B$40:$B$43)</f>
        <v>0</v>
      </c>
      <c r="BE30" s="23">
        <f xml:space="preserve"> IF(U30&lt;&gt;"",IF(LEFT(U30,3)="ETT", Calculs!$B$36,0),0)</f>
        <v>0</v>
      </c>
      <c r="BF30" s="23">
        <f xml:space="preserve"> IF(V30&lt;&gt;"",IF(LEFT(V30,1)="S", Calculs!$B$47,0),0)</f>
        <v>0</v>
      </c>
      <c r="BG30" s="23">
        <f xml:space="preserve"> IF(W30&lt;&gt;"",IF(LEFT(W30,1)="S", Calculs!$B$48,0),0)</f>
        <v>0</v>
      </c>
      <c r="BH30" s="29" t="str">
        <f t="shared" si="15"/>
        <v/>
      </c>
      <c r="BI30" s="23">
        <f>SUMIF(Calculs!$A$32:$A$35,BH30,Calculs!$B$32:$B$35)</f>
        <v>0</v>
      </c>
      <c r="BJ30" s="185" t="str">
        <f t="shared" si="16"/>
        <v>N</v>
      </c>
      <c r="BK30" s="23">
        <f t="shared" si="17"/>
        <v>0</v>
      </c>
      <c r="BL30" s="23">
        <v>1695</v>
      </c>
      <c r="BM30" s="16">
        <v>-200</v>
      </c>
    </row>
    <row r="31" spans="2:65" ht="13.8">
      <c r="B31" s="187"/>
      <c r="H31" s="12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138"/>
      <c r="U31" s="186"/>
      <c r="V31" s="186"/>
      <c r="W31" s="186"/>
      <c r="AA31" s="138"/>
      <c r="AB31" s="138"/>
      <c r="AC31" s="138"/>
      <c r="AD31" s="139"/>
      <c r="AE31" s="140"/>
      <c r="AF31" s="141"/>
      <c r="AG31" s="141"/>
      <c r="AH31" s="141"/>
      <c r="AI31" s="142"/>
      <c r="AJ31" s="142"/>
      <c r="AK31" s="142"/>
      <c r="AL31" s="142"/>
      <c r="AM31" s="197"/>
      <c r="AN31" s="19"/>
      <c r="AO31" s="16" t="str">
        <f t="shared" si="8"/>
        <v/>
      </c>
      <c r="AP31" s="17" t="e">
        <f t="shared" si="9"/>
        <v>#N/A</v>
      </c>
      <c r="AQ31" s="25" t="str">
        <f t="shared" si="10"/>
        <v/>
      </c>
      <c r="AR31" s="32">
        <f t="shared" si="11"/>
        <v>0</v>
      </c>
      <c r="AS31" s="32">
        <f xml:space="preserve"> COUNTIF($B$11:B31,B31)</f>
        <v>0</v>
      </c>
      <c r="AT31" s="32" t="str">
        <f t="shared" si="12"/>
        <v>01N</v>
      </c>
      <c r="AU31" s="22" t="str">
        <f t="shared" si="13"/>
        <v/>
      </c>
      <c r="AV31" s="23">
        <f>SUMIF(Calculs!$A$2:$A$33,AU31,Calculs!$B$2:$B$33)</f>
        <v>0</v>
      </c>
      <c r="AW31" s="23">
        <f xml:space="preserve"> IF(K31&lt;&gt;"",IF(LEFT(K31,1)="S", Calculs!$B$49,0),0)</f>
        <v>0</v>
      </c>
      <c r="AX31" s="23">
        <f xml:space="preserve"> IF(L31&lt;&gt;"",IF(LEFT(L31,1)="S", Calculs!$B$47,0),0)</f>
        <v>0</v>
      </c>
      <c r="AY31" s="23">
        <f xml:space="preserve"> IF(M31&lt;&gt;"",IF(LEFT(M31,1)="S", Calculs!$B$48,0),0)</f>
        <v>0</v>
      </c>
      <c r="AZ31" s="29" t="str">
        <f t="shared" si="14"/>
        <v/>
      </c>
      <c r="BA31" s="29">
        <f>SUMIF(Calculs!$A$2:$A$33,AZ31,Calculs!$B$2:$B$33)</f>
        <v>0</v>
      </c>
      <c r="BB31" s="23">
        <f xml:space="preserve"> IF(Q31&lt;&gt;"",IF(LEFT(Q31,1)="S", Calculs!$B$48,0),0)</f>
        <v>0</v>
      </c>
      <c r="BC31" s="23">
        <f xml:space="preserve"> IF(R31&lt;&gt;"",IF(LEFT(R31,1)="S", Calculs!$B$47,0),0)</f>
        <v>0</v>
      </c>
      <c r="BD31" s="23">
        <f>SUMIF(Calculs!$A$40:$A$43,LEFT(S31,2),Calculs!$B$40:$B$43)</f>
        <v>0</v>
      </c>
      <c r="BE31" s="23">
        <f xml:space="preserve"> IF(U31&lt;&gt;"",IF(LEFT(U31,3)="ETT", Calculs!$B$36,0),0)</f>
        <v>0</v>
      </c>
      <c r="BF31" s="23">
        <f xml:space="preserve"> IF(V31&lt;&gt;"",IF(LEFT(V31,1)="S", Calculs!$B$47,0),0)</f>
        <v>0</v>
      </c>
      <c r="BG31" s="23">
        <f xml:space="preserve"> IF(W31&lt;&gt;"",IF(LEFT(W31,1)="S", Calculs!$B$48,0),0)</f>
        <v>0</v>
      </c>
      <c r="BH31" s="29" t="str">
        <f t="shared" si="15"/>
        <v/>
      </c>
      <c r="BI31" s="23">
        <f>SUMIF(Calculs!$A$32:$A$35,BH31,Calculs!$B$32:$B$35)</f>
        <v>0</v>
      </c>
      <c r="BJ31" s="185" t="str">
        <f t="shared" si="16"/>
        <v>N</v>
      </c>
      <c r="BK31" s="23">
        <f t="shared" si="17"/>
        <v>0</v>
      </c>
      <c r="BL31" s="23">
        <v>1695</v>
      </c>
      <c r="BM31" s="16">
        <v>-200</v>
      </c>
    </row>
    <row r="32" spans="2:65" ht="13.8">
      <c r="B32" s="187"/>
      <c r="H32" s="12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138"/>
      <c r="U32" s="186"/>
      <c r="V32" s="186"/>
      <c r="W32" s="186"/>
      <c r="AA32" s="138"/>
      <c r="AB32" s="138"/>
      <c r="AC32" s="138"/>
      <c r="AD32" s="139"/>
      <c r="AE32" s="140"/>
      <c r="AF32" s="141"/>
      <c r="AG32" s="141"/>
      <c r="AH32" s="141"/>
      <c r="AI32" s="142"/>
      <c r="AJ32" s="142"/>
      <c r="AK32" s="142"/>
      <c r="AL32" s="142"/>
      <c r="AM32" s="197"/>
      <c r="AN32" s="19"/>
      <c r="AO32" s="16" t="str">
        <f t="shared" si="8"/>
        <v/>
      </c>
      <c r="AP32" s="17" t="e">
        <f t="shared" si="9"/>
        <v>#N/A</v>
      </c>
      <c r="AQ32" s="25" t="str">
        <f t="shared" si="10"/>
        <v/>
      </c>
      <c r="AR32" s="32">
        <f t="shared" si="11"/>
        <v>0</v>
      </c>
      <c r="AS32" s="32">
        <f xml:space="preserve"> COUNTIF($B$11:B32,B32)</f>
        <v>0</v>
      </c>
      <c r="AT32" s="32" t="str">
        <f t="shared" si="12"/>
        <v>01N</v>
      </c>
      <c r="AU32" s="22" t="str">
        <f t="shared" si="13"/>
        <v/>
      </c>
      <c r="AV32" s="23">
        <f>SUMIF(Calculs!$A$2:$A$33,AU32,Calculs!$B$2:$B$33)</f>
        <v>0</v>
      </c>
      <c r="AW32" s="23">
        <f xml:space="preserve"> IF(K32&lt;&gt;"",IF(LEFT(K32,1)="S", Calculs!$B$49,0),0)</f>
        <v>0</v>
      </c>
      <c r="AX32" s="23">
        <f xml:space="preserve"> IF(L32&lt;&gt;"",IF(LEFT(L32,1)="S", Calculs!$B$47,0),0)</f>
        <v>0</v>
      </c>
      <c r="AY32" s="23">
        <f xml:space="preserve"> IF(M32&lt;&gt;"",IF(LEFT(M32,1)="S", Calculs!$B$48,0),0)</f>
        <v>0</v>
      </c>
      <c r="AZ32" s="29" t="str">
        <f t="shared" si="14"/>
        <v/>
      </c>
      <c r="BA32" s="29">
        <f>SUMIF(Calculs!$A$2:$A$33,AZ32,Calculs!$B$2:$B$33)</f>
        <v>0</v>
      </c>
      <c r="BB32" s="23">
        <f xml:space="preserve"> IF(Q32&lt;&gt;"",IF(LEFT(Q32,1)="S", Calculs!$B$48,0),0)</f>
        <v>0</v>
      </c>
      <c r="BC32" s="23">
        <f xml:space="preserve"> IF(R32&lt;&gt;"",IF(LEFT(R32,1)="S", Calculs!$B$47,0),0)</f>
        <v>0</v>
      </c>
      <c r="BD32" s="23">
        <f>SUMIF(Calculs!$A$40:$A$43,LEFT(S32,2),Calculs!$B$40:$B$43)</f>
        <v>0</v>
      </c>
      <c r="BE32" s="23">
        <f xml:space="preserve"> IF(U32&lt;&gt;"",IF(LEFT(U32,3)="ETT", Calculs!$B$36,0),0)</f>
        <v>0</v>
      </c>
      <c r="BF32" s="23">
        <f xml:space="preserve"> IF(V32&lt;&gt;"",IF(LEFT(V32,1)="S", Calculs!$B$47,0),0)</f>
        <v>0</v>
      </c>
      <c r="BG32" s="23">
        <f xml:space="preserve"> IF(W32&lt;&gt;"",IF(LEFT(W32,1)="S", Calculs!$B$48,0),0)</f>
        <v>0</v>
      </c>
      <c r="BH32" s="29" t="str">
        <f t="shared" si="15"/>
        <v/>
      </c>
      <c r="BI32" s="23">
        <f>SUMIF(Calculs!$A$32:$A$35,BH32,Calculs!$B$32:$B$35)</f>
        <v>0</v>
      </c>
      <c r="BJ32" s="185" t="str">
        <f t="shared" si="16"/>
        <v>N</v>
      </c>
      <c r="BK32" s="23">
        <f t="shared" si="17"/>
        <v>0</v>
      </c>
      <c r="BL32" s="23">
        <v>1695</v>
      </c>
      <c r="BM32" s="16">
        <v>-200</v>
      </c>
    </row>
    <row r="33" spans="2:65" ht="13.8">
      <c r="B33" s="187"/>
      <c r="H33" s="12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138"/>
      <c r="U33" s="186"/>
      <c r="V33" s="186"/>
      <c r="W33" s="186"/>
      <c r="AA33" s="138"/>
      <c r="AB33" s="138"/>
      <c r="AC33" s="138"/>
      <c r="AD33" s="139"/>
      <c r="AE33" s="140"/>
      <c r="AF33" s="141"/>
      <c r="AG33" s="141"/>
      <c r="AH33" s="141"/>
      <c r="AI33" s="142"/>
      <c r="AJ33" s="142"/>
      <c r="AK33" s="142"/>
      <c r="AL33" s="142"/>
      <c r="AM33" s="197"/>
      <c r="AN33" s="19"/>
      <c r="AO33" s="16" t="str">
        <f t="shared" si="8"/>
        <v/>
      </c>
      <c r="AP33" s="17" t="e">
        <f t="shared" si="9"/>
        <v>#N/A</v>
      </c>
      <c r="AQ33" s="25" t="str">
        <f t="shared" si="10"/>
        <v/>
      </c>
      <c r="AR33" s="32">
        <f t="shared" si="11"/>
        <v>0</v>
      </c>
      <c r="AS33" s="32">
        <f xml:space="preserve"> COUNTIF($B$11:B33,B33)</f>
        <v>0</v>
      </c>
      <c r="AT33" s="32" t="str">
        <f t="shared" si="12"/>
        <v>01N</v>
      </c>
      <c r="AU33" s="22" t="str">
        <f t="shared" si="13"/>
        <v/>
      </c>
      <c r="AV33" s="23">
        <f>SUMIF(Calculs!$A$2:$A$33,AU33,Calculs!$B$2:$B$33)</f>
        <v>0</v>
      </c>
      <c r="AW33" s="23">
        <f xml:space="preserve"> IF(K33&lt;&gt;"",IF(LEFT(K33,1)="S", Calculs!$B$49,0),0)</f>
        <v>0</v>
      </c>
      <c r="AX33" s="23">
        <f xml:space="preserve"> IF(L33&lt;&gt;"",IF(LEFT(L33,1)="S", Calculs!$B$47,0),0)</f>
        <v>0</v>
      </c>
      <c r="AY33" s="23">
        <f xml:space="preserve"> IF(M33&lt;&gt;"",IF(LEFT(M33,1)="S", Calculs!$B$48,0),0)</f>
        <v>0</v>
      </c>
      <c r="AZ33" s="29" t="str">
        <f t="shared" si="14"/>
        <v/>
      </c>
      <c r="BA33" s="29">
        <f>SUMIF(Calculs!$A$2:$A$33,AZ33,Calculs!$B$2:$B$33)</f>
        <v>0</v>
      </c>
      <c r="BB33" s="23">
        <f xml:space="preserve"> IF(Q33&lt;&gt;"",IF(LEFT(Q33,1)="S", Calculs!$B$48,0),0)</f>
        <v>0</v>
      </c>
      <c r="BC33" s="23">
        <f xml:space="preserve"> IF(R33&lt;&gt;"",IF(LEFT(R33,1)="S", Calculs!$B$47,0),0)</f>
        <v>0</v>
      </c>
      <c r="BD33" s="23">
        <f>SUMIF(Calculs!$A$40:$A$43,LEFT(S33,2),Calculs!$B$40:$B$43)</f>
        <v>0</v>
      </c>
      <c r="BE33" s="23">
        <f xml:space="preserve"> IF(U33&lt;&gt;"",IF(LEFT(U33,3)="ETT", Calculs!$B$36,0),0)</f>
        <v>0</v>
      </c>
      <c r="BF33" s="23">
        <f xml:space="preserve"> IF(V33&lt;&gt;"",IF(LEFT(V33,1)="S", Calculs!$B$47,0),0)</f>
        <v>0</v>
      </c>
      <c r="BG33" s="23">
        <f xml:space="preserve"> IF(W33&lt;&gt;"",IF(LEFT(W33,1)="S", Calculs!$B$48,0),0)</f>
        <v>0</v>
      </c>
      <c r="BH33" s="29" t="str">
        <f t="shared" si="15"/>
        <v/>
      </c>
      <c r="BI33" s="23">
        <f>SUMIF(Calculs!$A$32:$A$35,BH33,Calculs!$B$32:$B$35)</f>
        <v>0</v>
      </c>
      <c r="BJ33" s="185" t="str">
        <f t="shared" si="16"/>
        <v>N</v>
      </c>
      <c r="BK33" s="23">
        <f t="shared" si="17"/>
        <v>0</v>
      </c>
      <c r="BL33" s="23">
        <v>1695</v>
      </c>
      <c r="BM33" s="16">
        <v>-200</v>
      </c>
    </row>
    <row r="34" spans="2:65" ht="13.8">
      <c r="B34" s="187"/>
      <c r="H34" s="12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138"/>
      <c r="U34" s="186"/>
      <c r="V34" s="186"/>
      <c r="W34" s="186"/>
      <c r="AA34" s="138"/>
      <c r="AB34" s="138"/>
      <c r="AC34" s="138"/>
      <c r="AD34" s="139"/>
      <c r="AE34" s="140"/>
      <c r="AF34" s="141"/>
      <c r="AG34" s="141"/>
      <c r="AH34" s="141"/>
      <c r="AI34" s="142"/>
      <c r="AJ34" s="142"/>
      <c r="AK34" s="142"/>
      <c r="AL34" s="142"/>
      <c r="AM34" s="197"/>
      <c r="AN34" s="19"/>
      <c r="AO34" s="16" t="str">
        <f t="shared" si="8"/>
        <v/>
      </c>
      <c r="AP34" s="17" t="e">
        <f t="shared" si="9"/>
        <v>#N/A</v>
      </c>
      <c r="AQ34" s="25" t="str">
        <f t="shared" si="10"/>
        <v/>
      </c>
      <c r="AR34" s="32">
        <f t="shared" si="11"/>
        <v>0</v>
      </c>
      <c r="AS34" s="32">
        <f xml:space="preserve"> COUNTIF($B$11:B34,B34)</f>
        <v>0</v>
      </c>
      <c r="AT34" s="32" t="str">
        <f t="shared" si="12"/>
        <v>01N</v>
      </c>
      <c r="AU34" s="22" t="str">
        <f t="shared" si="13"/>
        <v/>
      </c>
      <c r="AV34" s="23">
        <f>SUMIF(Calculs!$A$2:$A$33,AU34,Calculs!$B$2:$B$33)</f>
        <v>0</v>
      </c>
      <c r="AW34" s="23">
        <f xml:space="preserve"> IF(K34&lt;&gt;"",IF(LEFT(K34,1)="S", Calculs!$B$49,0),0)</f>
        <v>0</v>
      </c>
      <c r="AX34" s="23">
        <f xml:space="preserve"> IF(L34&lt;&gt;"",IF(LEFT(L34,1)="S", Calculs!$B$47,0),0)</f>
        <v>0</v>
      </c>
      <c r="AY34" s="23">
        <f xml:space="preserve"> IF(M34&lt;&gt;"",IF(LEFT(M34,1)="S", Calculs!$B$48,0),0)</f>
        <v>0</v>
      </c>
      <c r="AZ34" s="29" t="str">
        <f t="shared" si="14"/>
        <v/>
      </c>
      <c r="BA34" s="29">
        <f>SUMIF(Calculs!$A$2:$A$33,AZ34,Calculs!$B$2:$B$33)</f>
        <v>0</v>
      </c>
      <c r="BB34" s="23">
        <f xml:space="preserve"> IF(Q34&lt;&gt;"",IF(LEFT(Q34,1)="S", Calculs!$B$48,0),0)</f>
        <v>0</v>
      </c>
      <c r="BC34" s="23">
        <f xml:space="preserve"> IF(R34&lt;&gt;"",IF(LEFT(R34,1)="S", Calculs!$B$47,0),0)</f>
        <v>0</v>
      </c>
      <c r="BD34" s="23">
        <f>SUMIF(Calculs!$A$40:$A$43,LEFT(S34,2),Calculs!$B$40:$B$43)</f>
        <v>0</v>
      </c>
      <c r="BE34" s="23">
        <f xml:space="preserve"> IF(U34&lt;&gt;"",IF(LEFT(U34,3)="ETT", Calculs!$B$36,0),0)</f>
        <v>0</v>
      </c>
      <c r="BF34" s="23">
        <f xml:space="preserve"> IF(V34&lt;&gt;"",IF(LEFT(V34,1)="S", Calculs!$B$47,0),0)</f>
        <v>0</v>
      </c>
      <c r="BG34" s="23">
        <f xml:space="preserve"> IF(W34&lt;&gt;"",IF(LEFT(W34,1)="S", Calculs!$B$48,0),0)</f>
        <v>0</v>
      </c>
      <c r="BH34" s="29" t="str">
        <f t="shared" si="15"/>
        <v/>
      </c>
      <c r="BI34" s="23">
        <f>SUMIF(Calculs!$A$32:$A$35,BH34,Calculs!$B$32:$B$35)</f>
        <v>0</v>
      </c>
      <c r="BJ34" s="185" t="str">
        <f t="shared" si="16"/>
        <v>N</v>
      </c>
      <c r="BK34" s="23">
        <f t="shared" si="17"/>
        <v>0</v>
      </c>
      <c r="BL34" s="23">
        <v>1695</v>
      </c>
      <c r="BM34" s="16">
        <v>-200</v>
      </c>
    </row>
    <row r="35" spans="2:65" ht="13.8">
      <c r="B35" s="187"/>
      <c r="H35" s="12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138"/>
      <c r="U35" s="186"/>
      <c r="V35" s="186"/>
      <c r="W35" s="186"/>
      <c r="AA35" s="138"/>
      <c r="AB35" s="138"/>
      <c r="AC35" s="138"/>
      <c r="AD35" s="139"/>
      <c r="AE35" s="140"/>
      <c r="AF35" s="141"/>
      <c r="AG35" s="141"/>
      <c r="AH35" s="141"/>
      <c r="AI35" s="142"/>
      <c r="AJ35" s="142"/>
      <c r="AK35" s="142"/>
      <c r="AL35" s="142"/>
      <c r="AM35" s="197"/>
      <c r="AN35" s="19"/>
      <c r="AO35" s="16" t="str">
        <f t="shared" si="8"/>
        <v/>
      </c>
      <c r="AP35" s="17" t="e">
        <f t="shared" si="9"/>
        <v>#N/A</v>
      </c>
      <c r="AQ35" s="25" t="str">
        <f t="shared" si="10"/>
        <v/>
      </c>
      <c r="AR35" s="32">
        <f t="shared" si="11"/>
        <v>0</v>
      </c>
      <c r="AS35" s="32">
        <f xml:space="preserve"> COUNTIF($B$11:B35,B35)</f>
        <v>0</v>
      </c>
      <c r="AT35" s="32" t="str">
        <f t="shared" si="12"/>
        <v>01N</v>
      </c>
      <c r="AU35" s="22" t="str">
        <f t="shared" si="13"/>
        <v/>
      </c>
      <c r="AV35" s="23">
        <f>SUMIF(Calculs!$A$2:$A$33,AU35,Calculs!$B$2:$B$33)</f>
        <v>0</v>
      </c>
      <c r="AW35" s="23">
        <f xml:space="preserve"> IF(K35&lt;&gt;"",IF(LEFT(K35,1)="S", Calculs!$B$49,0),0)</f>
        <v>0</v>
      </c>
      <c r="AX35" s="23">
        <f xml:space="preserve"> IF(L35&lt;&gt;"",IF(LEFT(L35,1)="S", Calculs!$B$47,0),0)</f>
        <v>0</v>
      </c>
      <c r="AY35" s="23">
        <f xml:space="preserve"> IF(M35&lt;&gt;"",IF(LEFT(M35,1)="S", Calculs!$B$48,0),0)</f>
        <v>0</v>
      </c>
      <c r="AZ35" s="29" t="str">
        <f t="shared" si="14"/>
        <v/>
      </c>
      <c r="BA35" s="29">
        <f>SUMIF(Calculs!$A$2:$A$33,AZ35,Calculs!$B$2:$B$33)</f>
        <v>0</v>
      </c>
      <c r="BB35" s="23">
        <f xml:space="preserve"> IF(Q35&lt;&gt;"",IF(LEFT(Q35,1)="S", Calculs!$B$48,0),0)</f>
        <v>0</v>
      </c>
      <c r="BC35" s="23">
        <f xml:space="preserve"> IF(R35&lt;&gt;"",IF(LEFT(R35,1)="S", Calculs!$B$47,0),0)</f>
        <v>0</v>
      </c>
      <c r="BD35" s="23">
        <f>SUMIF(Calculs!$A$40:$A$43,LEFT(S35,2),Calculs!$B$40:$B$43)</f>
        <v>0</v>
      </c>
      <c r="BE35" s="23">
        <f xml:space="preserve"> IF(U35&lt;&gt;"",IF(LEFT(U35,3)="ETT", Calculs!$B$36,0),0)</f>
        <v>0</v>
      </c>
      <c r="BF35" s="23">
        <f xml:space="preserve"> IF(V35&lt;&gt;"",IF(LEFT(V35,1)="S", Calculs!$B$47,0),0)</f>
        <v>0</v>
      </c>
      <c r="BG35" s="23">
        <f xml:space="preserve"> IF(W35&lt;&gt;"",IF(LEFT(W35,1)="S", Calculs!$B$48,0),0)</f>
        <v>0</v>
      </c>
      <c r="BH35" s="29" t="str">
        <f t="shared" si="15"/>
        <v/>
      </c>
      <c r="BI35" s="23">
        <f>SUMIF(Calculs!$A$32:$A$35,BH35,Calculs!$B$32:$B$35)</f>
        <v>0</v>
      </c>
      <c r="BJ35" s="185" t="str">
        <f t="shared" si="16"/>
        <v>N</v>
      </c>
      <c r="BK35" s="23">
        <f t="shared" si="17"/>
        <v>0</v>
      </c>
      <c r="BL35" s="23">
        <v>1695</v>
      </c>
      <c r="BM35" s="16">
        <v>-200</v>
      </c>
    </row>
    <row r="36" spans="2:65" ht="13.8">
      <c r="B36" s="187"/>
      <c r="H36" s="12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138"/>
      <c r="U36" s="186"/>
      <c r="V36" s="186"/>
      <c r="W36" s="186"/>
      <c r="AA36" s="138"/>
      <c r="AB36" s="138"/>
      <c r="AC36" s="138"/>
      <c r="AD36" s="139"/>
      <c r="AE36" s="140"/>
      <c r="AF36" s="141"/>
      <c r="AG36" s="141"/>
      <c r="AH36" s="141"/>
      <c r="AI36" s="142"/>
      <c r="AJ36" s="142"/>
      <c r="AK36" s="142"/>
      <c r="AL36" s="142"/>
      <c r="AM36" s="197"/>
      <c r="AN36" s="19"/>
      <c r="AO36" s="16" t="str">
        <f t="shared" si="8"/>
        <v/>
      </c>
      <c r="AP36" s="17" t="e">
        <f t="shared" si="9"/>
        <v>#N/A</v>
      </c>
      <c r="AQ36" s="25" t="str">
        <f t="shared" si="10"/>
        <v/>
      </c>
      <c r="AR36" s="32">
        <f t="shared" si="11"/>
        <v>0</v>
      </c>
      <c r="AS36" s="32">
        <f xml:space="preserve"> COUNTIF($B$11:B36,B36)</f>
        <v>0</v>
      </c>
      <c r="AT36" s="32" t="str">
        <f t="shared" si="12"/>
        <v>01N</v>
      </c>
      <c r="AU36" s="22" t="str">
        <f t="shared" si="13"/>
        <v/>
      </c>
      <c r="AV36" s="23">
        <f>SUMIF(Calculs!$A$2:$A$33,AU36,Calculs!$B$2:$B$33)</f>
        <v>0</v>
      </c>
      <c r="AW36" s="23">
        <f xml:space="preserve"> IF(K36&lt;&gt;"",IF(LEFT(K36,1)="S", Calculs!$B$49,0),0)</f>
        <v>0</v>
      </c>
      <c r="AX36" s="23">
        <f xml:space="preserve"> IF(L36&lt;&gt;"",IF(LEFT(L36,1)="S", Calculs!$B$47,0),0)</f>
        <v>0</v>
      </c>
      <c r="AY36" s="23">
        <f xml:space="preserve"> IF(M36&lt;&gt;"",IF(LEFT(M36,1)="S", Calculs!$B$48,0),0)</f>
        <v>0</v>
      </c>
      <c r="AZ36" s="29" t="str">
        <f t="shared" si="14"/>
        <v/>
      </c>
      <c r="BA36" s="29">
        <f>SUMIF(Calculs!$A$2:$A$33,AZ36,Calculs!$B$2:$B$33)</f>
        <v>0</v>
      </c>
      <c r="BB36" s="23">
        <f xml:space="preserve"> IF(Q36&lt;&gt;"",IF(LEFT(Q36,1)="S", Calculs!$B$48,0),0)</f>
        <v>0</v>
      </c>
      <c r="BC36" s="23">
        <f xml:space="preserve"> IF(R36&lt;&gt;"",IF(LEFT(R36,1)="S", Calculs!$B$47,0),0)</f>
        <v>0</v>
      </c>
      <c r="BD36" s="23">
        <f>SUMIF(Calculs!$A$40:$A$43,LEFT(S36,2),Calculs!$B$40:$B$43)</f>
        <v>0</v>
      </c>
      <c r="BE36" s="23">
        <f xml:space="preserve"> IF(U36&lt;&gt;"",IF(LEFT(U36,3)="ETT", Calculs!$B$36,0),0)</f>
        <v>0</v>
      </c>
      <c r="BF36" s="23">
        <f xml:space="preserve"> IF(V36&lt;&gt;"",IF(LEFT(V36,1)="S", Calculs!$B$47,0),0)</f>
        <v>0</v>
      </c>
      <c r="BG36" s="23">
        <f xml:space="preserve"> IF(W36&lt;&gt;"",IF(LEFT(W36,1)="S", Calculs!$B$48,0),0)</f>
        <v>0</v>
      </c>
      <c r="BH36" s="29" t="str">
        <f t="shared" si="15"/>
        <v/>
      </c>
      <c r="BI36" s="23">
        <f>SUMIF(Calculs!$A$32:$A$35,BH36,Calculs!$B$32:$B$35)</f>
        <v>0</v>
      </c>
      <c r="BJ36" s="185" t="str">
        <f t="shared" si="16"/>
        <v>N</v>
      </c>
      <c r="BK36" s="23">
        <f t="shared" si="17"/>
        <v>0</v>
      </c>
      <c r="BL36" s="23">
        <v>1695</v>
      </c>
      <c r="BM36" s="16">
        <v>-200</v>
      </c>
    </row>
    <row r="37" spans="2:65" ht="13.8">
      <c r="B37" s="187"/>
      <c r="H37" s="12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138"/>
      <c r="U37" s="186"/>
      <c r="V37" s="186"/>
      <c r="W37" s="186"/>
      <c r="AA37" s="138"/>
      <c r="AB37" s="138"/>
      <c r="AC37" s="138"/>
      <c r="AD37" s="139"/>
      <c r="AE37" s="140"/>
      <c r="AF37" s="141"/>
      <c r="AG37" s="141"/>
      <c r="AH37" s="141"/>
      <c r="AI37" s="142"/>
      <c r="AJ37" s="142"/>
      <c r="AK37" s="142"/>
      <c r="AL37" s="142"/>
      <c r="AM37" s="197"/>
      <c r="AN37" s="19"/>
      <c r="AO37" s="16" t="str">
        <f t="shared" ref="AO12:AO75" si="18">$AO$6</f>
        <v/>
      </c>
      <c r="AP37" s="17" t="e">
        <f t="shared" ref="AP12:AP75" si="19">$AP$6</f>
        <v>#N/A</v>
      </c>
      <c r="AQ37" s="25" t="str">
        <f t="shared" si="3"/>
        <v/>
      </c>
      <c r="AR37" s="32">
        <f t="shared" si="4"/>
        <v>0</v>
      </c>
      <c r="AS37" s="32">
        <f xml:space="preserve"> COUNTIF($B$11:B37,B37)</f>
        <v>0</v>
      </c>
      <c r="AT37" s="32" t="str">
        <f t="shared" ref="AT12:AT75" si="20">CONCATENATE(AR37,"1",BJ37)</f>
        <v>01N</v>
      </c>
      <c r="AU37" s="22" t="str">
        <f t="shared" si="5"/>
        <v/>
      </c>
      <c r="AV37" s="23">
        <f>SUMIF(Calculs!$A$2:$A$33,AU37,Calculs!$B$2:$B$33)</f>
        <v>0</v>
      </c>
      <c r="AW37" s="23">
        <f xml:space="preserve"> IF(K37&lt;&gt;"",IF(LEFT(K37,1)="S", Calculs!$B$49,0),0)</f>
        <v>0</v>
      </c>
      <c r="AX37" s="23">
        <f xml:space="preserve"> IF(L37&lt;&gt;"",IF(LEFT(L37,1)="S", Calculs!$B$47,0),0)</f>
        <v>0</v>
      </c>
      <c r="AY37" s="23">
        <f xml:space="preserve"> IF(M37&lt;&gt;"",IF(LEFT(M37,1)="S", Calculs!$B$48,0),0)</f>
        <v>0</v>
      </c>
      <c r="AZ37" s="29" t="str">
        <f t="shared" si="6"/>
        <v/>
      </c>
      <c r="BA37" s="29">
        <f>SUMIF(Calculs!$A$2:$A$33,AZ37,Calculs!$B$2:$B$33)</f>
        <v>0</v>
      </c>
      <c r="BB37" s="23">
        <f xml:space="preserve"> IF(Q37&lt;&gt;"",IF(LEFT(Q37,1)="S", Calculs!$B$48,0),0)</f>
        <v>0</v>
      </c>
      <c r="BC37" s="23">
        <f xml:space="preserve"> IF(R37&lt;&gt;"",IF(LEFT(R37,1)="S", Calculs!$B$47,0),0)</f>
        <v>0</v>
      </c>
      <c r="BD37" s="23">
        <f>SUMIF(Calculs!$A$40:$A$43,LEFT(S37,2),Calculs!$B$40:$B$43)</f>
        <v>0</v>
      </c>
      <c r="BE37" s="23">
        <f xml:space="preserve"> IF(U37&lt;&gt;"",IF(LEFT(U37,3)="ETT", Calculs!$B$36,0),0)</f>
        <v>0</v>
      </c>
      <c r="BF37" s="23">
        <f xml:space="preserve"> IF(V37&lt;&gt;"",IF(LEFT(V37,1)="S", Calculs!$B$47,0),0)</f>
        <v>0</v>
      </c>
      <c r="BG37" s="23">
        <f xml:space="preserve"> IF(W37&lt;&gt;"",IF(LEFT(W37,1)="S", Calculs!$B$48,0),0)</f>
        <v>0</v>
      </c>
      <c r="BH37" s="29" t="str">
        <f t="shared" si="7"/>
        <v/>
      </c>
      <c r="BI37" s="23">
        <f>SUMIF(Calculs!$A$32:$A$35,BH37,Calculs!$B$32:$B$35)</f>
        <v>0</v>
      </c>
      <c r="BJ37" s="185" t="str">
        <f t="shared" ref="BJ12:BJ75" si="21">IF(IF(AU37&lt;&gt;"",1,0) + IF(AZ37&lt;&gt;"",1,0)+IF(BE37&lt;&gt;0,1,0)+IF(BH37&lt;&gt;"",1,0)&gt;0,"S","N")</f>
        <v>N</v>
      </c>
      <c r="BK37" s="23">
        <f t="shared" ref="BK13:BK75" si="22">AV37+AW37+AX37+AY37+BA37+BB37+BC37+BD37+BE37+BF37+BG37+BI37</f>
        <v>0</v>
      </c>
      <c r="BL37" s="23">
        <f>IF(AND(AR37&lt;&gt;0,BJ37="S"),VLOOKUP(AR37,Calculs!$A$53:$B$58,2,FALSE), 0)</f>
        <v>0</v>
      </c>
      <c r="BM37" s="16">
        <f t="shared" ref="BM13:BM75" si="23">BK37-BL37</f>
        <v>0</v>
      </c>
    </row>
    <row r="38" spans="2:65" ht="13.8">
      <c r="B38" s="187"/>
      <c r="H38" s="12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138"/>
      <c r="U38" s="186"/>
      <c r="V38" s="186"/>
      <c r="W38" s="186"/>
      <c r="AA38" s="138"/>
      <c r="AB38" s="138"/>
      <c r="AC38" s="138"/>
      <c r="AD38" s="139"/>
      <c r="AE38" s="140"/>
      <c r="AF38" s="141"/>
      <c r="AG38" s="141"/>
      <c r="AH38" s="141"/>
      <c r="AI38" s="142"/>
      <c r="AJ38" s="142"/>
      <c r="AK38" s="142"/>
      <c r="AL38" s="142"/>
      <c r="AM38" s="197"/>
      <c r="AN38" s="19"/>
      <c r="AO38" s="16" t="str">
        <f t="shared" si="18"/>
        <v/>
      </c>
      <c r="AP38" s="17" t="e">
        <f t="shared" si="19"/>
        <v>#N/A</v>
      </c>
      <c r="AQ38" s="25" t="str">
        <f t="shared" si="3"/>
        <v/>
      </c>
      <c r="AR38" s="32">
        <f t="shared" si="4"/>
        <v>0</v>
      </c>
      <c r="AS38" s="32">
        <f xml:space="preserve"> COUNTIF($B$11:B38,B38)</f>
        <v>0</v>
      </c>
      <c r="AT38" s="32" t="str">
        <f t="shared" si="20"/>
        <v>01N</v>
      </c>
      <c r="AU38" s="22" t="str">
        <f t="shared" si="5"/>
        <v/>
      </c>
      <c r="AV38" s="23">
        <f>SUMIF(Calculs!$A$2:$A$33,AU38,Calculs!$B$2:$B$33)</f>
        <v>0</v>
      </c>
      <c r="AW38" s="23">
        <f xml:space="preserve"> IF(K38&lt;&gt;"",IF(LEFT(K38,1)="S", Calculs!$B$49,0),0)</f>
        <v>0</v>
      </c>
      <c r="AX38" s="23">
        <f xml:space="preserve"> IF(L38&lt;&gt;"",IF(LEFT(L38,1)="S", Calculs!$B$47,0),0)</f>
        <v>0</v>
      </c>
      <c r="AY38" s="23">
        <f xml:space="preserve"> IF(M38&lt;&gt;"",IF(LEFT(M38,1)="S", Calculs!$B$48,0),0)</f>
        <v>0</v>
      </c>
      <c r="AZ38" s="29" t="str">
        <f t="shared" si="6"/>
        <v/>
      </c>
      <c r="BA38" s="29">
        <f>SUMIF(Calculs!$A$2:$A$33,AZ38,Calculs!$B$2:$B$33)</f>
        <v>0</v>
      </c>
      <c r="BB38" s="23">
        <f xml:space="preserve"> IF(Q38&lt;&gt;"",IF(LEFT(Q38,1)="S", Calculs!$B$48,0),0)</f>
        <v>0</v>
      </c>
      <c r="BC38" s="23">
        <f xml:space="preserve"> IF(R38&lt;&gt;"",IF(LEFT(R38,1)="S", Calculs!$B$47,0),0)</f>
        <v>0</v>
      </c>
      <c r="BD38" s="23">
        <f>SUMIF(Calculs!$A$40:$A$43,LEFT(S38,2),Calculs!$B$40:$B$43)</f>
        <v>0</v>
      </c>
      <c r="BE38" s="23">
        <f xml:space="preserve"> IF(U38&lt;&gt;"",IF(LEFT(U38,3)="ETT", Calculs!$B$36,0),0)</f>
        <v>0</v>
      </c>
      <c r="BF38" s="23">
        <f xml:space="preserve"> IF(V38&lt;&gt;"",IF(LEFT(V38,1)="S", Calculs!$B$47,0),0)</f>
        <v>0</v>
      </c>
      <c r="BG38" s="23">
        <f xml:space="preserve"> IF(W38&lt;&gt;"",IF(LEFT(W38,1)="S", Calculs!$B$48,0),0)</f>
        <v>0</v>
      </c>
      <c r="BH38" s="29" t="str">
        <f t="shared" si="7"/>
        <v/>
      </c>
      <c r="BI38" s="23">
        <f>SUMIF(Calculs!$A$32:$A$35,BH38,Calculs!$B$32:$B$35)</f>
        <v>0</v>
      </c>
      <c r="BJ38" s="185" t="str">
        <f t="shared" si="21"/>
        <v>N</v>
      </c>
      <c r="BK38" s="23">
        <f t="shared" si="22"/>
        <v>0</v>
      </c>
      <c r="BL38" s="23">
        <f>IF(AND(AR38&lt;&gt;0,BJ38="S"),VLOOKUP(AR38,Calculs!$A$53:$B$58,2,FALSE), 0)</f>
        <v>0</v>
      </c>
      <c r="BM38" s="16">
        <f t="shared" si="23"/>
        <v>0</v>
      </c>
    </row>
    <row r="39" spans="2:65" ht="13.8">
      <c r="B39" s="187"/>
      <c r="H39" s="12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138"/>
      <c r="U39" s="186"/>
      <c r="V39" s="186"/>
      <c r="W39" s="186"/>
      <c r="AA39" s="138"/>
      <c r="AB39" s="138"/>
      <c r="AC39" s="138"/>
      <c r="AD39" s="139"/>
      <c r="AE39" s="140"/>
      <c r="AF39" s="141"/>
      <c r="AG39" s="141"/>
      <c r="AH39" s="141"/>
      <c r="AI39" s="142"/>
      <c r="AJ39" s="142"/>
      <c r="AK39" s="142"/>
      <c r="AL39" s="142"/>
      <c r="AM39" s="197"/>
      <c r="AN39" s="19"/>
      <c r="AO39" s="16" t="str">
        <f t="shared" si="18"/>
        <v/>
      </c>
      <c r="AP39" s="17" t="e">
        <f t="shared" si="19"/>
        <v>#N/A</v>
      </c>
      <c r="AQ39" s="25" t="str">
        <f t="shared" si="3"/>
        <v/>
      </c>
      <c r="AR39" s="32">
        <f t="shared" si="4"/>
        <v>0</v>
      </c>
      <c r="AS39" s="32">
        <f xml:space="preserve"> COUNTIF($B$11:B39,B39)</f>
        <v>0</v>
      </c>
      <c r="AT39" s="32" t="str">
        <f t="shared" si="20"/>
        <v>01N</v>
      </c>
      <c r="AU39" s="22" t="str">
        <f t="shared" si="5"/>
        <v/>
      </c>
      <c r="AV39" s="23">
        <f>SUMIF(Calculs!$A$2:$A$33,AU39,Calculs!$B$2:$B$33)</f>
        <v>0</v>
      </c>
      <c r="AW39" s="23">
        <f xml:space="preserve"> IF(K39&lt;&gt;"",IF(LEFT(K39,1)="S", Calculs!$B$49,0),0)</f>
        <v>0</v>
      </c>
      <c r="AX39" s="23">
        <f xml:space="preserve"> IF(L39&lt;&gt;"",IF(LEFT(L39,1)="S", Calculs!$B$47,0),0)</f>
        <v>0</v>
      </c>
      <c r="AY39" s="23">
        <f xml:space="preserve"> IF(M39&lt;&gt;"",IF(LEFT(M39,1)="S", Calculs!$B$48,0),0)</f>
        <v>0</v>
      </c>
      <c r="AZ39" s="29" t="str">
        <f t="shared" si="6"/>
        <v/>
      </c>
      <c r="BA39" s="29">
        <f>SUMIF(Calculs!$A$2:$A$33,AZ39,Calculs!$B$2:$B$33)</f>
        <v>0</v>
      </c>
      <c r="BB39" s="23">
        <f xml:space="preserve"> IF(Q39&lt;&gt;"",IF(LEFT(Q39,1)="S", Calculs!$B$48,0),0)</f>
        <v>0</v>
      </c>
      <c r="BC39" s="23">
        <f xml:space="preserve"> IF(R39&lt;&gt;"",IF(LEFT(R39,1)="S", Calculs!$B$47,0),0)</f>
        <v>0</v>
      </c>
      <c r="BD39" s="23">
        <f>SUMIF(Calculs!$A$40:$A$43,LEFT(S39,2),Calculs!$B$40:$B$43)</f>
        <v>0</v>
      </c>
      <c r="BE39" s="23">
        <f xml:space="preserve"> IF(U39&lt;&gt;"",IF(LEFT(U39,3)="ETT", Calculs!$B$36,0),0)</f>
        <v>0</v>
      </c>
      <c r="BF39" s="23">
        <f xml:space="preserve"> IF(V39&lt;&gt;"",IF(LEFT(V39,1)="S", Calculs!$B$47,0),0)</f>
        <v>0</v>
      </c>
      <c r="BG39" s="23">
        <f xml:space="preserve"> IF(W39&lt;&gt;"",IF(LEFT(W39,1)="S", Calculs!$B$48,0),0)</f>
        <v>0</v>
      </c>
      <c r="BH39" s="29" t="str">
        <f t="shared" si="7"/>
        <v/>
      </c>
      <c r="BI39" s="23">
        <f>SUMIF(Calculs!$A$32:$A$35,BH39,Calculs!$B$32:$B$35)</f>
        <v>0</v>
      </c>
      <c r="BJ39" s="185" t="str">
        <f t="shared" si="21"/>
        <v>N</v>
      </c>
      <c r="BK39" s="23">
        <f t="shared" si="22"/>
        <v>0</v>
      </c>
      <c r="BL39" s="23">
        <f>IF(AND(AR39&lt;&gt;0,BJ39="S"),VLOOKUP(AR39,Calculs!$A$53:$B$58,2,FALSE), 0)</f>
        <v>0</v>
      </c>
      <c r="BM39" s="16">
        <f t="shared" si="23"/>
        <v>0</v>
      </c>
    </row>
    <row r="40" spans="2:65" ht="13.8">
      <c r="B40" s="187"/>
      <c r="H40" s="12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138"/>
      <c r="U40" s="186"/>
      <c r="V40" s="186"/>
      <c r="W40" s="186"/>
      <c r="AA40" s="138"/>
      <c r="AB40" s="138"/>
      <c r="AC40" s="138"/>
      <c r="AD40" s="139"/>
      <c r="AE40" s="140"/>
      <c r="AF40" s="141"/>
      <c r="AG40" s="141"/>
      <c r="AH40" s="141"/>
      <c r="AI40" s="142"/>
      <c r="AJ40" s="142"/>
      <c r="AK40" s="142"/>
      <c r="AL40" s="142"/>
      <c r="AM40" s="197"/>
      <c r="AN40" s="19"/>
      <c r="AO40" s="16" t="str">
        <f t="shared" si="18"/>
        <v/>
      </c>
      <c r="AP40" s="17" t="e">
        <f t="shared" si="19"/>
        <v>#N/A</v>
      </c>
      <c r="AQ40" s="25" t="str">
        <f t="shared" si="3"/>
        <v/>
      </c>
      <c r="AR40" s="32">
        <f t="shared" si="4"/>
        <v>0</v>
      </c>
      <c r="AS40" s="32">
        <f xml:space="preserve"> COUNTIF($B$11:B40,B40)</f>
        <v>0</v>
      </c>
      <c r="AT40" s="32" t="str">
        <f t="shared" si="20"/>
        <v>01N</v>
      </c>
      <c r="AU40" s="22" t="str">
        <f t="shared" si="5"/>
        <v/>
      </c>
      <c r="AV40" s="23">
        <f>SUMIF(Calculs!$A$2:$A$33,AU40,Calculs!$B$2:$B$33)</f>
        <v>0</v>
      </c>
      <c r="AW40" s="23">
        <f xml:space="preserve"> IF(K40&lt;&gt;"",IF(LEFT(K40,1)="S", Calculs!$B$49,0),0)</f>
        <v>0</v>
      </c>
      <c r="AX40" s="23">
        <f xml:space="preserve"> IF(L40&lt;&gt;"",IF(LEFT(L40,1)="S", Calculs!$B$47,0),0)</f>
        <v>0</v>
      </c>
      <c r="AY40" s="23">
        <f xml:space="preserve"> IF(M40&lt;&gt;"",IF(LEFT(M40,1)="S", Calculs!$B$48,0),0)</f>
        <v>0</v>
      </c>
      <c r="AZ40" s="29" t="str">
        <f t="shared" si="6"/>
        <v/>
      </c>
      <c r="BA40" s="29">
        <f>SUMIF(Calculs!$A$2:$A$33,AZ40,Calculs!$B$2:$B$33)</f>
        <v>0</v>
      </c>
      <c r="BB40" s="23">
        <f xml:space="preserve"> IF(Q40&lt;&gt;"",IF(LEFT(Q40,1)="S", Calculs!$B$48,0),0)</f>
        <v>0</v>
      </c>
      <c r="BC40" s="23">
        <f xml:space="preserve"> IF(R40&lt;&gt;"",IF(LEFT(R40,1)="S", Calculs!$B$47,0),0)</f>
        <v>0</v>
      </c>
      <c r="BD40" s="23">
        <f>SUMIF(Calculs!$A$40:$A$43,LEFT(S40,2),Calculs!$B$40:$B$43)</f>
        <v>0</v>
      </c>
      <c r="BE40" s="23">
        <f xml:space="preserve"> IF(U40&lt;&gt;"",IF(LEFT(U40,3)="ETT", Calculs!$B$36,0),0)</f>
        <v>0</v>
      </c>
      <c r="BF40" s="23">
        <f xml:space="preserve"> IF(V40&lt;&gt;"",IF(LEFT(V40,1)="S", Calculs!$B$47,0),0)</f>
        <v>0</v>
      </c>
      <c r="BG40" s="23">
        <f xml:space="preserve"> IF(W40&lt;&gt;"",IF(LEFT(W40,1)="S", Calculs!$B$48,0),0)</f>
        <v>0</v>
      </c>
      <c r="BH40" s="29" t="str">
        <f t="shared" si="7"/>
        <v/>
      </c>
      <c r="BI40" s="23">
        <f>SUMIF(Calculs!$A$32:$A$35,BH40,Calculs!$B$32:$B$35)</f>
        <v>0</v>
      </c>
      <c r="BJ40" s="185" t="str">
        <f t="shared" si="21"/>
        <v>N</v>
      </c>
      <c r="BK40" s="23">
        <f t="shared" si="22"/>
        <v>0</v>
      </c>
      <c r="BL40" s="23">
        <f>IF(AND(AR40&lt;&gt;0,BJ40="S"),VLOOKUP(AR40,Calculs!$A$53:$B$58,2,FALSE), 0)</f>
        <v>0</v>
      </c>
      <c r="BM40" s="16">
        <f t="shared" si="23"/>
        <v>0</v>
      </c>
    </row>
    <row r="41" spans="2:65" ht="13.8">
      <c r="B41" s="187"/>
      <c r="H41" s="12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138"/>
      <c r="U41" s="186"/>
      <c r="V41" s="186"/>
      <c r="W41" s="186"/>
      <c r="AA41" s="138"/>
      <c r="AB41" s="138"/>
      <c r="AC41" s="138"/>
      <c r="AD41" s="139"/>
      <c r="AE41" s="140"/>
      <c r="AF41" s="141"/>
      <c r="AG41" s="141"/>
      <c r="AH41" s="141"/>
      <c r="AI41" s="142"/>
      <c r="AJ41" s="142"/>
      <c r="AK41" s="142"/>
      <c r="AL41" s="142"/>
      <c r="AM41" s="197"/>
      <c r="AN41" s="19"/>
      <c r="AO41" s="16" t="str">
        <f t="shared" si="18"/>
        <v/>
      </c>
      <c r="AP41" s="17" t="e">
        <f t="shared" si="19"/>
        <v>#N/A</v>
      </c>
      <c r="AQ41" s="25" t="str">
        <f t="shared" si="3"/>
        <v/>
      </c>
      <c r="AR41" s="32">
        <f t="shared" si="4"/>
        <v>0</v>
      </c>
      <c r="AS41" s="32">
        <f xml:space="preserve"> COUNTIF($B$11:B41,B41)</f>
        <v>0</v>
      </c>
      <c r="AT41" s="32" t="str">
        <f t="shared" si="20"/>
        <v>01N</v>
      </c>
      <c r="AU41" s="22" t="str">
        <f t="shared" si="5"/>
        <v/>
      </c>
      <c r="AV41" s="23">
        <f>SUMIF(Calculs!$A$2:$A$33,AU41,Calculs!$B$2:$B$33)</f>
        <v>0</v>
      </c>
      <c r="AW41" s="23">
        <f xml:space="preserve"> IF(K41&lt;&gt;"",IF(LEFT(K41,1)="S", Calculs!$B$49,0),0)</f>
        <v>0</v>
      </c>
      <c r="AX41" s="23">
        <f xml:space="preserve"> IF(L41&lt;&gt;"",IF(LEFT(L41,1)="S", Calculs!$B$47,0),0)</f>
        <v>0</v>
      </c>
      <c r="AY41" s="23">
        <f xml:space="preserve"> IF(M41&lt;&gt;"",IF(LEFT(M41,1)="S", Calculs!$B$48,0),0)</f>
        <v>0</v>
      </c>
      <c r="AZ41" s="29" t="str">
        <f t="shared" si="6"/>
        <v/>
      </c>
      <c r="BA41" s="29">
        <f>SUMIF(Calculs!$A$2:$A$33,AZ41,Calculs!$B$2:$B$33)</f>
        <v>0</v>
      </c>
      <c r="BB41" s="23">
        <f xml:space="preserve"> IF(Q41&lt;&gt;"",IF(LEFT(Q41,1)="S", Calculs!$B$48,0),0)</f>
        <v>0</v>
      </c>
      <c r="BC41" s="23">
        <f xml:space="preserve"> IF(R41&lt;&gt;"",IF(LEFT(R41,1)="S", Calculs!$B$47,0),0)</f>
        <v>0</v>
      </c>
      <c r="BD41" s="23">
        <f>SUMIF(Calculs!$A$40:$A$43,LEFT(S41,2),Calculs!$B$40:$B$43)</f>
        <v>0</v>
      </c>
      <c r="BE41" s="23">
        <f xml:space="preserve"> IF(U41&lt;&gt;"",IF(LEFT(U41,3)="ETT", Calculs!$B$36,0),0)</f>
        <v>0</v>
      </c>
      <c r="BF41" s="23">
        <f xml:space="preserve"> IF(V41&lt;&gt;"",IF(LEFT(V41,1)="S", Calculs!$B$47,0),0)</f>
        <v>0</v>
      </c>
      <c r="BG41" s="23">
        <f xml:space="preserve"> IF(W41&lt;&gt;"",IF(LEFT(W41,1)="S", Calculs!$B$48,0),0)</f>
        <v>0</v>
      </c>
      <c r="BH41" s="29" t="str">
        <f t="shared" si="7"/>
        <v/>
      </c>
      <c r="BI41" s="23">
        <f>SUMIF(Calculs!$A$32:$A$35,BH41,Calculs!$B$32:$B$35)</f>
        <v>0</v>
      </c>
      <c r="BJ41" s="185" t="str">
        <f t="shared" si="21"/>
        <v>N</v>
      </c>
      <c r="BK41" s="23">
        <f t="shared" si="22"/>
        <v>0</v>
      </c>
      <c r="BL41" s="23">
        <f>IF(AND(AR41&lt;&gt;0,BJ41="S"),VLOOKUP(AR41,Calculs!$A$53:$B$58,2,FALSE), 0)</f>
        <v>0</v>
      </c>
      <c r="BM41" s="16">
        <f t="shared" si="23"/>
        <v>0</v>
      </c>
    </row>
    <row r="42" spans="2:65" ht="13.8">
      <c r="B42" s="187"/>
      <c r="H42" s="12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138"/>
      <c r="U42" s="186"/>
      <c r="V42" s="186"/>
      <c r="W42" s="186"/>
      <c r="AA42" s="138"/>
      <c r="AB42" s="138"/>
      <c r="AC42" s="138"/>
      <c r="AD42" s="139"/>
      <c r="AE42" s="140"/>
      <c r="AF42" s="141"/>
      <c r="AG42" s="141"/>
      <c r="AH42" s="141"/>
      <c r="AI42" s="142"/>
      <c r="AJ42" s="142"/>
      <c r="AK42" s="142"/>
      <c r="AL42" s="142"/>
      <c r="AM42" s="197"/>
      <c r="AN42" s="19"/>
      <c r="AO42" s="16" t="str">
        <f t="shared" si="18"/>
        <v/>
      </c>
      <c r="AP42" s="17" t="e">
        <f t="shared" si="19"/>
        <v>#N/A</v>
      </c>
      <c r="AQ42" s="25" t="str">
        <f t="shared" si="3"/>
        <v/>
      </c>
      <c r="AR42" s="32">
        <f t="shared" si="4"/>
        <v>0</v>
      </c>
      <c r="AS42" s="32">
        <f xml:space="preserve"> COUNTIF($B$11:B42,B42)</f>
        <v>0</v>
      </c>
      <c r="AT42" s="32" t="str">
        <f t="shared" si="20"/>
        <v>01N</v>
      </c>
      <c r="AU42" s="22" t="str">
        <f t="shared" si="5"/>
        <v/>
      </c>
      <c r="AV42" s="23">
        <f>SUMIF(Calculs!$A$2:$A$33,AU42,Calculs!$B$2:$B$33)</f>
        <v>0</v>
      </c>
      <c r="AW42" s="23">
        <f xml:space="preserve"> IF(K42&lt;&gt;"",IF(LEFT(K42,1)="S", Calculs!$B$49,0),0)</f>
        <v>0</v>
      </c>
      <c r="AX42" s="23">
        <f xml:space="preserve"> IF(L42&lt;&gt;"",IF(LEFT(L42,1)="S", Calculs!$B$47,0),0)</f>
        <v>0</v>
      </c>
      <c r="AY42" s="23">
        <f xml:space="preserve"> IF(M42&lt;&gt;"",IF(LEFT(M42,1)="S", Calculs!$B$48,0),0)</f>
        <v>0</v>
      </c>
      <c r="AZ42" s="29" t="str">
        <f t="shared" si="6"/>
        <v/>
      </c>
      <c r="BA42" s="29">
        <f>SUMIF(Calculs!$A$2:$A$33,AZ42,Calculs!$B$2:$B$33)</f>
        <v>0</v>
      </c>
      <c r="BB42" s="23">
        <f xml:space="preserve"> IF(Q42&lt;&gt;"",IF(LEFT(Q42,1)="S", Calculs!$B$48,0),0)</f>
        <v>0</v>
      </c>
      <c r="BC42" s="23">
        <f xml:space="preserve"> IF(R42&lt;&gt;"",IF(LEFT(R42,1)="S", Calculs!$B$47,0),0)</f>
        <v>0</v>
      </c>
      <c r="BD42" s="23">
        <f>SUMIF(Calculs!$A$40:$A$43,LEFT(S42,2),Calculs!$B$40:$B$43)</f>
        <v>0</v>
      </c>
      <c r="BE42" s="23">
        <f xml:space="preserve"> IF(U42&lt;&gt;"",IF(LEFT(U42,3)="ETT", Calculs!$B$36,0),0)</f>
        <v>0</v>
      </c>
      <c r="BF42" s="23">
        <f xml:space="preserve"> IF(V42&lt;&gt;"",IF(LEFT(V42,1)="S", Calculs!$B$47,0),0)</f>
        <v>0</v>
      </c>
      <c r="BG42" s="23">
        <f xml:space="preserve"> IF(W42&lt;&gt;"",IF(LEFT(W42,1)="S", Calculs!$B$48,0),0)</f>
        <v>0</v>
      </c>
      <c r="BH42" s="29" t="str">
        <f t="shared" si="7"/>
        <v/>
      </c>
      <c r="BI42" s="23">
        <f>SUMIF(Calculs!$A$32:$A$35,BH42,Calculs!$B$32:$B$35)</f>
        <v>0</v>
      </c>
      <c r="BJ42" s="185" t="str">
        <f t="shared" si="21"/>
        <v>N</v>
      </c>
      <c r="BK42" s="23">
        <f t="shared" si="22"/>
        <v>0</v>
      </c>
      <c r="BL42" s="23">
        <f>IF(AND(AR42&lt;&gt;0,BJ42="S"),VLOOKUP(AR42,Calculs!$A$53:$B$58,2,FALSE), 0)</f>
        <v>0</v>
      </c>
      <c r="BM42" s="16">
        <f t="shared" si="23"/>
        <v>0</v>
      </c>
    </row>
    <row r="43" spans="2:65" ht="13.8">
      <c r="B43" s="187"/>
      <c r="H43" s="12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138"/>
      <c r="U43" s="186"/>
      <c r="V43" s="186"/>
      <c r="W43" s="186"/>
      <c r="AA43" s="138"/>
      <c r="AB43" s="138"/>
      <c r="AC43" s="138"/>
      <c r="AD43" s="139"/>
      <c r="AE43" s="140"/>
      <c r="AF43" s="141"/>
      <c r="AG43" s="141"/>
      <c r="AH43" s="141"/>
      <c r="AI43" s="142"/>
      <c r="AJ43" s="142"/>
      <c r="AK43" s="142"/>
      <c r="AL43" s="142"/>
      <c r="AM43" s="197"/>
      <c r="AN43" s="19"/>
      <c r="AO43" s="16" t="str">
        <f t="shared" si="18"/>
        <v/>
      </c>
      <c r="AP43" s="17" t="e">
        <f t="shared" si="19"/>
        <v>#N/A</v>
      </c>
      <c r="AQ43" s="25" t="str">
        <f t="shared" ref="AQ43:AQ74" si="24">IF(LEFT(C43,3)="Dir", "Sí","")</f>
        <v/>
      </c>
      <c r="AR43" s="32">
        <f t="shared" ref="AR43:AR74" si="25">IF(C43="Temps complert","PDI TC",IF(C43="Temps parcial","PDI TP",C43))</f>
        <v>0</v>
      </c>
      <c r="AS43" s="32">
        <f xml:space="preserve"> COUNTIF($B$11:B43,B43)</f>
        <v>0</v>
      </c>
      <c r="AT43" s="32" t="str">
        <f t="shared" si="20"/>
        <v>01N</v>
      </c>
      <c r="AU43" s="22" t="str">
        <f t="shared" ref="AU43:AU74" si="26" xml:space="preserve"> IF(I43&lt;&gt;"",CONCATENATE(LEFT(I43,5),IF(J43="Linux",".L",".W")),"")</f>
        <v/>
      </c>
      <c r="AV43" s="23">
        <f>SUMIF(Calculs!$A$2:$A$33,AU43,Calculs!$B$2:$B$33)</f>
        <v>0</v>
      </c>
      <c r="AW43" s="23">
        <f xml:space="preserve"> IF(K43&lt;&gt;"",IF(LEFT(K43,1)="S", Calculs!$B$49,0),0)</f>
        <v>0</v>
      </c>
      <c r="AX43" s="23">
        <f xml:space="preserve"> IF(L43&lt;&gt;"",IF(LEFT(L43,1)="S", Calculs!$B$47,0),0)</f>
        <v>0</v>
      </c>
      <c r="AY43" s="23">
        <f xml:space="preserve"> IF(M43&lt;&gt;"",IF(LEFT(M43,1)="S", Calculs!$B$48,0),0)</f>
        <v>0</v>
      </c>
      <c r="AZ43" s="29" t="str">
        <f t="shared" ref="AZ43:AZ74" si="27" xml:space="preserve"> IF(N43&lt;&gt;"",CONCATENATE(LEFT(N43,3),IF(O43="Linux",".L",".W")),"")</f>
        <v/>
      </c>
      <c r="BA43" s="29">
        <f>SUMIF(Calculs!$A$2:$A$33,AZ43,Calculs!$B$2:$B$33)</f>
        <v>0</v>
      </c>
      <c r="BB43" s="23">
        <f xml:space="preserve"> IF(Q43&lt;&gt;"",IF(LEFT(Q43,1)="S", Calculs!$B$48,0),0)</f>
        <v>0</v>
      </c>
      <c r="BC43" s="23">
        <f xml:space="preserve"> IF(R43&lt;&gt;"",IF(LEFT(R43,1)="S", Calculs!$B$47,0),0)</f>
        <v>0</v>
      </c>
      <c r="BD43" s="23">
        <f>SUMIF(Calculs!$A$40:$A$43,LEFT(S43,2),Calculs!$B$40:$B$43)</f>
        <v>0</v>
      </c>
      <c r="BE43" s="23">
        <f xml:space="preserve"> IF(U43&lt;&gt;"",IF(LEFT(U43,3)="ETT", Calculs!$B$36,0),0)</f>
        <v>0</v>
      </c>
      <c r="BF43" s="23">
        <f xml:space="preserve"> IF(V43&lt;&gt;"",IF(LEFT(V43,1)="S", Calculs!$B$47,0),0)</f>
        <v>0</v>
      </c>
      <c r="BG43" s="23">
        <f xml:space="preserve"> IF(W43&lt;&gt;"",IF(LEFT(W43,1)="S", Calculs!$B$48,0),0)</f>
        <v>0</v>
      </c>
      <c r="BH43" s="29" t="str">
        <f t="shared" ref="BH43:BH74" si="28" xml:space="preserve"> IF(T43&lt;&gt;"",LEFT(T43,4),"")</f>
        <v/>
      </c>
      <c r="BI43" s="23">
        <f>SUMIF(Calculs!$A$32:$A$35,BH43,Calculs!$B$32:$B$35)</f>
        <v>0</v>
      </c>
      <c r="BJ43" s="185" t="str">
        <f t="shared" si="21"/>
        <v>N</v>
      </c>
      <c r="BK43" s="23">
        <f t="shared" si="22"/>
        <v>0</v>
      </c>
      <c r="BL43" s="23">
        <f>IF(AND(AR43&lt;&gt;0,BJ43="S"),VLOOKUP(AR43,Calculs!$A$53:$B$58,2,FALSE), 0)</f>
        <v>0</v>
      </c>
      <c r="BM43" s="16">
        <f t="shared" si="23"/>
        <v>0</v>
      </c>
    </row>
    <row r="44" spans="2:65" ht="13.8">
      <c r="B44" s="187"/>
      <c r="H44" s="12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138"/>
      <c r="U44" s="186"/>
      <c r="V44" s="186"/>
      <c r="W44" s="186"/>
      <c r="AA44" s="138"/>
      <c r="AB44" s="138"/>
      <c r="AC44" s="138"/>
      <c r="AD44" s="139"/>
      <c r="AE44" s="140"/>
      <c r="AF44" s="141"/>
      <c r="AG44" s="141"/>
      <c r="AH44" s="141"/>
      <c r="AI44" s="142"/>
      <c r="AJ44" s="142"/>
      <c r="AK44" s="142"/>
      <c r="AL44" s="142"/>
      <c r="AM44" s="197"/>
      <c r="AN44" s="19"/>
      <c r="AO44" s="16" t="str">
        <f t="shared" si="18"/>
        <v/>
      </c>
      <c r="AP44" s="17" t="e">
        <f t="shared" si="19"/>
        <v>#N/A</v>
      </c>
      <c r="AQ44" s="25" t="str">
        <f t="shared" si="24"/>
        <v/>
      </c>
      <c r="AR44" s="32">
        <f t="shared" si="25"/>
        <v>0</v>
      </c>
      <c r="AS44" s="32">
        <f xml:space="preserve"> COUNTIF($B$11:B44,B44)</f>
        <v>0</v>
      </c>
      <c r="AT44" s="32" t="str">
        <f t="shared" si="20"/>
        <v>01N</v>
      </c>
      <c r="AU44" s="22" t="str">
        <f t="shared" si="26"/>
        <v/>
      </c>
      <c r="AV44" s="23">
        <f>SUMIF(Calculs!$A$2:$A$33,AU44,Calculs!$B$2:$B$33)</f>
        <v>0</v>
      </c>
      <c r="AW44" s="23">
        <f xml:space="preserve"> IF(K44&lt;&gt;"",IF(LEFT(K44,1)="S", Calculs!$B$49,0),0)</f>
        <v>0</v>
      </c>
      <c r="AX44" s="23">
        <f xml:space="preserve"> IF(L44&lt;&gt;"",IF(LEFT(L44,1)="S", Calculs!$B$47,0),0)</f>
        <v>0</v>
      </c>
      <c r="AY44" s="23">
        <f xml:space="preserve"> IF(M44&lt;&gt;"",IF(LEFT(M44,1)="S", Calculs!$B$48,0),0)</f>
        <v>0</v>
      </c>
      <c r="AZ44" s="29" t="str">
        <f t="shared" si="27"/>
        <v/>
      </c>
      <c r="BA44" s="29">
        <f>SUMIF(Calculs!$A$2:$A$33,AZ44,Calculs!$B$2:$B$33)</f>
        <v>0</v>
      </c>
      <c r="BB44" s="23">
        <f xml:space="preserve"> IF(Q44&lt;&gt;"",IF(LEFT(Q44,1)="S", Calculs!$B$48,0),0)</f>
        <v>0</v>
      </c>
      <c r="BC44" s="23">
        <f xml:space="preserve"> IF(R44&lt;&gt;"",IF(LEFT(R44,1)="S", Calculs!$B$47,0),0)</f>
        <v>0</v>
      </c>
      <c r="BD44" s="23">
        <f>SUMIF(Calculs!$A$40:$A$43,LEFT(S44,2),Calculs!$B$40:$B$43)</f>
        <v>0</v>
      </c>
      <c r="BE44" s="23">
        <f xml:space="preserve"> IF(U44&lt;&gt;"",IF(LEFT(U44,3)="ETT", Calculs!$B$36,0),0)</f>
        <v>0</v>
      </c>
      <c r="BF44" s="23">
        <f xml:space="preserve"> IF(V44&lt;&gt;"",IF(LEFT(V44,1)="S", Calculs!$B$47,0),0)</f>
        <v>0</v>
      </c>
      <c r="BG44" s="23">
        <f xml:space="preserve"> IF(W44&lt;&gt;"",IF(LEFT(W44,1)="S", Calculs!$B$48,0),0)</f>
        <v>0</v>
      </c>
      <c r="BH44" s="29" t="str">
        <f t="shared" si="28"/>
        <v/>
      </c>
      <c r="BI44" s="23">
        <f>SUMIF(Calculs!$A$32:$A$35,BH44,Calculs!$B$32:$B$35)</f>
        <v>0</v>
      </c>
      <c r="BJ44" s="185" t="str">
        <f t="shared" si="21"/>
        <v>N</v>
      </c>
      <c r="BK44" s="23">
        <f t="shared" si="22"/>
        <v>0</v>
      </c>
      <c r="BL44" s="23">
        <f>IF(AND(AR44&lt;&gt;0,BJ44="S"),VLOOKUP(AR44,Calculs!$A$53:$B$58,2,FALSE), 0)</f>
        <v>0</v>
      </c>
      <c r="BM44" s="16">
        <f t="shared" si="23"/>
        <v>0</v>
      </c>
    </row>
    <row r="45" spans="2:65" ht="13.8">
      <c r="B45" s="187"/>
      <c r="H45" s="12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138"/>
      <c r="U45" s="186"/>
      <c r="V45" s="186"/>
      <c r="W45" s="186"/>
      <c r="AA45" s="138"/>
      <c r="AB45" s="138"/>
      <c r="AC45" s="138"/>
      <c r="AD45" s="139"/>
      <c r="AE45" s="140"/>
      <c r="AF45" s="141"/>
      <c r="AG45" s="141"/>
      <c r="AH45" s="141"/>
      <c r="AI45" s="142"/>
      <c r="AJ45" s="142"/>
      <c r="AK45" s="142"/>
      <c r="AL45" s="142"/>
      <c r="AM45" s="197"/>
      <c r="AN45" s="19"/>
      <c r="AO45" s="16" t="str">
        <f t="shared" si="18"/>
        <v/>
      </c>
      <c r="AP45" s="17" t="e">
        <f t="shared" si="19"/>
        <v>#N/A</v>
      </c>
      <c r="AQ45" s="25" t="str">
        <f t="shared" si="24"/>
        <v/>
      </c>
      <c r="AR45" s="32">
        <f t="shared" si="25"/>
        <v>0</v>
      </c>
      <c r="AS45" s="32">
        <f xml:space="preserve"> COUNTIF($B$11:B45,B45)</f>
        <v>0</v>
      </c>
      <c r="AT45" s="32" t="str">
        <f t="shared" si="20"/>
        <v>01N</v>
      </c>
      <c r="AU45" s="22" t="str">
        <f t="shared" si="26"/>
        <v/>
      </c>
      <c r="AV45" s="23">
        <f>SUMIF(Calculs!$A$2:$A$33,AU45,Calculs!$B$2:$B$33)</f>
        <v>0</v>
      </c>
      <c r="AW45" s="23">
        <f xml:space="preserve"> IF(K45&lt;&gt;"",IF(LEFT(K45,1)="S", Calculs!$B$49,0),0)</f>
        <v>0</v>
      </c>
      <c r="AX45" s="23">
        <f xml:space="preserve"> IF(L45&lt;&gt;"",IF(LEFT(L45,1)="S", Calculs!$B$47,0),0)</f>
        <v>0</v>
      </c>
      <c r="AY45" s="23">
        <f xml:space="preserve"> IF(M45&lt;&gt;"",IF(LEFT(M45,1)="S", Calculs!$B$48,0),0)</f>
        <v>0</v>
      </c>
      <c r="AZ45" s="29" t="str">
        <f t="shared" si="27"/>
        <v/>
      </c>
      <c r="BA45" s="29">
        <f>SUMIF(Calculs!$A$2:$A$33,AZ45,Calculs!$B$2:$B$33)</f>
        <v>0</v>
      </c>
      <c r="BB45" s="23">
        <f xml:space="preserve"> IF(Q45&lt;&gt;"",IF(LEFT(Q45,1)="S", Calculs!$B$48,0),0)</f>
        <v>0</v>
      </c>
      <c r="BC45" s="23">
        <f xml:space="preserve"> IF(R45&lt;&gt;"",IF(LEFT(R45,1)="S", Calculs!$B$47,0),0)</f>
        <v>0</v>
      </c>
      <c r="BD45" s="23">
        <f>SUMIF(Calculs!$A$40:$A$43,LEFT(S45,2),Calculs!$B$40:$B$43)</f>
        <v>0</v>
      </c>
      <c r="BE45" s="23">
        <f xml:space="preserve"> IF(U45&lt;&gt;"",IF(LEFT(U45,3)="ETT", Calculs!$B$36,0),0)</f>
        <v>0</v>
      </c>
      <c r="BF45" s="23">
        <f xml:space="preserve"> IF(V45&lt;&gt;"",IF(LEFT(V45,1)="S", Calculs!$B$47,0),0)</f>
        <v>0</v>
      </c>
      <c r="BG45" s="23">
        <f xml:space="preserve"> IF(W45&lt;&gt;"",IF(LEFT(W45,1)="S", Calculs!$B$48,0),0)</f>
        <v>0</v>
      </c>
      <c r="BH45" s="29" t="str">
        <f t="shared" si="28"/>
        <v/>
      </c>
      <c r="BI45" s="23">
        <f>SUMIF(Calculs!$A$32:$A$35,BH45,Calculs!$B$32:$B$35)</f>
        <v>0</v>
      </c>
      <c r="BJ45" s="185" t="str">
        <f t="shared" si="21"/>
        <v>N</v>
      </c>
      <c r="BK45" s="23">
        <f t="shared" si="22"/>
        <v>0</v>
      </c>
      <c r="BL45" s="23">
        <f>IF(AND(AR45&lt;&gt;0,BJ45="S"),VLOOKUP(AR45,Calculs!$A$53:$B$58,2,FALSE), 0)</f>
        <v>0</v>
      </c>
      <c r="BM45" s="16">
        <f t="shared" si="23"/>
        <v>0</v>
      </c>
    </row>
    <row r="46" spans="2:65" ht="13.8">
      <c r="B46" s="187"/>
      <c r="H46" s="12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138"/>
      <c r="U46" s="186"/>
      <c r="V46" s="186"/>
      <c r="W46" s="186"/>
      <c r="AA46" s="138"/>
      <c r="AB46" s="138"/>
      <c r="AC46" s="138"/>
      <c r="AD46" s="139"/>
      <c r="AE46" s="140"/>
      <c r="AF46" s="141"/>
      <c r="AG46" s="141"/>
      <c r="AH46" s="141"/>
      <c r="AI46" s="142"/>
      <c r="AJ46" s="142"/>
      <c r="AK46" s="142"/>
      <c r="AL46" s="142"/>
      <c r="AM46" s="197"/>
      <c r="AN46" s="19"/>
      <c r="AO46" s="16" t="str">
        <f t="shared" si="18"/>
        <v/>
      </c>
      <c r="AP46" s="17" t="e">
        <f t="shared" si="19"/>
        <v>#N/A</v>
      </c>
      <c r="AQ46" s="25" t="str">
        <f t="shared" si="24"/>
        <v/>
      </c>
      <c r="AR46" s="32">
        <f t="shared" si="25"/>
        <v>0</v>
      </c>
      <c r="AS46" s="32">
        <f xml:space="preserve"> COUNTIF($B$11:B46,B46)</f>
        <v>0</v>
      </c>
      <c r="AT46" s="32" t="str">
        <f t="shared" si="20"/>
        <v>01N</v>
      </c>
      <c r="AU46" s="22" t="str">
        <f t="shared" si="26"/>
        <v/>
      </c>
      <c r="AV46" s="23">
        <f>SUMIF(Calculs!$A$2:$A$33,AU46,Calculs!$B$2:$B$33)</f>
        <v>0</v>
      </c>
      <c r="AW46" s="23">
        <f xml:space="preserve"> IF(K46&lt;&gt;"",IF(LEFT(K46,1)="S", Calculs!$B$49,0),0)</f>
        <v>0</v>
      </c>
      <c r="AX46" s="23">
        <f xml:space="preserve"> IF(L46&lt;&gt;"",IF(LEFT(L46,1)="S", Calculs!$B$47,0),0)</f>
        <v>0</v>
      </c>
      <c r="AY46" s="23">
        <f xml:space="preserve"> IF(M46&lt;&gt;"",IF(LEFT(M46,1)="S", Calculs!$B$48,0),0)</f>
        <v>0</v>
      </c>
      <c r="AZ46" s="29" t="str">
        <f t="shared" si="27"/>
        <v/>
      </c>
      <c r="BA46" s="29">
        <f>SUMIF(Calculs!$A$2:$A$33,AZ46,Calculs!$B$2:$B$33)</f>
        <v>0</v>
      </c>
      <c r="BB46" s="23">
        <f xml:space="preserve"> IF(Q46&lt;&gt;"",IF(LEFT(Q46,1)="S", Calculs!$B$48,0),0)</f>
        <v>0</v>
      </c>
      <c r="BC46" s="23">
        <f xml:space="preserve"> IF(R46&lt;&gt;"",IF(LEFT(R46,1)="S", Calculs!$B$47,0),0)</f>
        <v>0</v>
      </c>
      <c r="BD46" s="23">
        <f>SUMIF(Calculs!$A$40:$A$43,LEFT(S46,2),Calculs!$B$40:$B$43)</f>
        <v>0</v>
      </c>
      <c r="BE46" s="23">
        <f xml:space="preserve"> IF(U46&lt;&gt;"",IF(LEFT(U46,3)="ETT", Calculs!$B$36,0),0)</f>
        <v>0</v>
      </c>
      <c r="BF46" s="23">
        <f xml:space="preserve"> IF(V46&lt;&gt;"",IF(LEFT(V46,1)="S", Calculs!$B$47,0),0)</f>
        <v>0</v>
      </c>
      <c r="BG46" s="23">
        <f xml:space="preserve"> IF(W46&lt;&gt;"",IF(LEFT(W46,1)="S", Calculs!$B$48,0),0)</f>
        <v>0</v>
      </c>
      <c r="BH46" s="29" t="str">
        <f t="shared" si="28"/>
        <v/>
      </c>
      <c r="BI46" s="23">
        <f>SUMIF(Calculs!$A$32:$A$35,BH46,Calculs!$B$32:$B$35)</f>
        <v>0</v>
      </c>
      <c r="BJ46" s="185" t="str">
        <f t="shared" si="21"/>
        <v>N</v>
      </c>
      <c r="BK46" s="23">
        <f t="shared" si="22"/>
        <v>0</v>
      </c>
      <c r="BL46" s="23">
        <f>IF(AND(AR46&lt;&gt;0,BJ46="S"),VLOOKUP(AR46,Calculs!$A$53:$B$58,2,FALSE), 0)</f>
        <v>0</v>
      </c>
      <c r="BM46" s="16">
        <f t="shared" si="23"/>
        <v>0</v>
      </c>
    </row>
    <row r="47" spans="2:65" ht="13.8">
      <c r="B47" s="187"/>
      <c r="H47" s="12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138"/>
      <c r="U47" s="186"/>
      <c r="V47" s="186"/>
      <c r="W47" s="186"/>
      <c r="AA47" s="138"/>
      <c r="AB47" s="138"/>
      <c r="AC47" s="138"/>
      <c r="AD47" s="139"/>
      <c r="AE47" s="140"/>
      <c r="AF47" s="141"/>
      <c r="AG47" s="141"/>
      <c r="AH47" s="141"/>
      <c r="AI47" s="142"/>
      <c r="AJ47" s="142"/>
      <c r="AK47" s="142"/>
      <c r="AL47" s="142"/>
      <c r="AM47" s="197"/>
      <c r="AN47" s="19"/>
      <c r="AO47" s="16" t="str">
        <f t="shared" si="18"/>
        <v/>
      </c>
      <c r="AP47" s="17" t="e">
        <f t="shared" si="19"/>
        <v>#N/A</v>
      </c>
      <c r="AQ47" s="25" t="str">
        <f t="shared" si="24"/>
        <v/>
      </c>
      <c r="AR47" s="32">
        <f t="shared" si="25"/>
        <v>0</v>
      </c>
      <c r="AS47" s="32">
        <f xml:space="preserve"> COUNTIF($B$11:B47,B47)</f>
        <v>0</v>
      </c>
      <c r="AT47" s="32" t="str">
        <f t="shared" si="20"/>
        <v>01N</v>
      </c>
      <c r="AU47" s="22" t="str">
        <f t="shared" si="26"/>
        <v/>
      </c>
      <c r="AV47" s="23">
        <f>SUMIF(Calculs!$A$2:$A$33,AU47,Calculs!$B$2:$B$33)</f>
        <v>0</v>
      </c>
      <c r="AW47" s="23">
        <f xml:space="preserve"> IF(K47&lt;&gt;"",IF(LEFT(K47,1)="S", Calculs!$B$49,0),0)</f>
        <v>0</v>
      </c>
      <c r="AX47" s="23">
        <f xml:space="preserve"> IF(L47&lt;&gt;"",IF(LEFT(L47,1)="S", Calculs!$B$47,0),0)</f>
        <v>0</v>
      </c>
      <c r="AY47" s="23">
        <f xml:space="preserve"> IF(M47&lt;&gt;"",IF(LEFT(M47,1)="S", Calculs!$B$48,0),0)</f>
        <v>0</v>
      </c>
      <c r="AZ47" s="29" t="str">
        <f t="shared" si="27"/>
        <v/>
      </c>
      <c r="BA47" s="29">
        <f>SUMIF(Calculs!$A$2:$A$33,AZ47,Calculs!$B$2:$B$33)</f>
        <v>0</v>
      </c>
      <c r="BB47" s="23">
        <f xml:space="preserve"> IF(Q47&lt;&gt;"",IF(LEFT(Q47,1)="S", Calculs!$B$48,0),0)</f>
        <v>0</v>
      </c>
      <c r="BC47" s="23">
        <f xml:space="preserve"> IF(R47&lt;&gt;"",IF(LEFT(R47,1)="S", Calculs!$B$47,0),0)</f>
        <v>0</v>
      </c>
      <c r="BD47" s="23">
        <f>SUMIF(Calculs!$A$40:$A$43,LEFT(S47,2),Calculs!$B$40:$B$43)</f>
        <v>0</v>
      </c>
      <c r="BE47" s="23">
        <f xml:space="preserve"> IF(U47&lt;&gt;"",IF(LEFT(U47,3)="ETT", Calculs!$B$36,0),0)</f>
        <v>0</v>
      </c>
      <c r="BF47" s="23">
        <f xml:space="preserve"> IF(V47&lt;&gt;"",IF(LEFT(V47,1)="S", Calculs!$B$47,0),0)</f>
        <v>0</v>
      </c>
      <c r="BG47" s="23">
        <f xml:space="preserve"> IF(W47&lt;&gt;"",IF(LEFT(W47,1)="S", Calculs!$B$48,0),0)</f>
        <v>0</v>
      </c>
      <c r="BH47" s="29" t="str">
        <f t="shared" si="28"/>
        <v/>
      </c>
      <c r="BI47" s="23">
        <f>SUMIF(Calculs!$A$32:$A$35,BH47,Calculs!$B$32:$B$35)</f>
        <v>0</v>
      </c>
      <c r="BJ47" s="185" t="str">
        <f t="shared" si="21"/>
        <v>N</v>
      </c>
      <c r="BK47" s="23">
        <f t="shared" si="22"/>
        <v>0</v>
      </c>
      <c r="BL47" s="23">
        <f>IF(AND(AR47&lt;&gt;0,BJ47="S"),VLOOKUP(AR47,Calculs!$A$53:$B$58,2,FALSE), 0)</f>
        <v>0</v>
      </c>
      <c r="BM47" s="16">
        <f t="shared" si="23"/>
        <v>0</v>
      </c>
    </row>
    <row r="48" spans="2:65" ht="13.8">
      <c r="B48" s="187"/>
      <c r="H48" s="12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138"/>
      <c r="U48" s="186"/>
      <c r="V48" s="186"/>
      <c r="W48" s="186"/>
      <c r="AA48" s="138"/>
      <c r="AB48" s="138"/>
      <c r="AC48" s="138"/>
      <c r="AD48" s="139"/>
      <c r="AE48" s="140"/>
      <c r="AF48" s="141"/>
      <c r="AG48" s="141"/>
      <c r="AH48" s="141"/>
      <c r="AI48" s="142"/>
      <c r="AJ48" s="142"/>
      <c r="AK48" s="142"/>
      <c r="AL48" s="142"/>
      <c r="AM48" s="197"/>
      <c r="AN48" s="19"/>
      <c r="AO48" s="16" t="str">
        <f t="shared" si="18"/>
        <v/>
      </c>
      <c r="AP48" s="17" t="e">
        <f t="shared" si="19"/>
        <v>#N/A</v>
      </c>
      <c r="AQ48" s="25" t="str">
        <f t="shared" si="24"/>
        <v/>
      </c>
      <c r="AR48" s="32">
        <f t="shared" si="25"/>
        <v>0</v>
      </c>
      <c r="AS48" s="32">
        <f xml:space="preserve"> COUNTIF($B$11:B48,B48)</f>
        <v>0</v>
      </c>
      <c r="AT48" s="32" t="str">
        <f t="shared" si="20"/>
        <v>01N</v>
      </c>
      <c r="AU48" s="22" t="str">
        <f t="shared" si="26"/>
        <v/>
      </c>
      <c r="AV48" s="23">
        <f>SUMIF(Calculs!$A$2:$A$33,AU48,Calculs!$B$2:$B$33)</f>
        <v>0</v>
      </c>
      <c r="AW48" s="23">
        <f xml:space="preserve"> IF(K48&lt;&gt;"",IF(LEFT(K48,1)="S", Calculs!$B$49,0),0)</f>
        <v>0</v>
      </c>
      <c r="AX48" s="23">
        <f xml:space="preserve"> IF(L48&lt;&gt;"",IF(LEFT(L48,1)="S", Calculs!$B$47,0),0)</f>
        <v>0</v>
      </c>
      <c r="AY48" s="23">
        <f xml:space="preserve"> IF(M48&lt;&gt;"",IF(LEFT(M48,1)="S", Calculs!$B$48,0),0)</f>
        <v>0</v>
      </c>
      <c r="AZ48" s="29" t="str">
        <f t="shared" si="27"/>
        <v/>
      </c>
      <c r="BA48" s="29">
        <f>SUMIF(Calculs!$A$2:$A$33,AZ48,Calculs!$B$2:$B$33)</f>
        <v>0</v>
      </c>
      <c r="BB48" s="23">
        <f xml:space="preserve"> IF(Q48&lt;&gt;"",IF(LEFT(Q48,1)="S", Calculs!$B$48,0),0)</f>
        <v>0</v>
      </c>
      <c r="BC48" s="23">
        <f xml:space="preserve"> IF(R48&lt;&gt;"",IF(LEFT(R48,1)="S", Calculs!$B$47,0),0)</f>
        <v>0</v>
      </c>
      <c r="BD48" s="23">
        <f>SUMIF(Calculs!$A$40:$A$43,LEFT(S48,2),Calculs!$B$40:$B$43)</f>
        <v>0</v>
      </c>
      <c r="BE48" s="23">
        <f xml:space="preserve"> IF(U48&lt;&gt;"",IF(LEFT(U48,3)="ETT", Calculs!$B$36,0),0)</f>
        <v>0</v>
      </c>
      <c r="BF48" s="23">
        <f xml:space="preserve"> IF(V48&lt;&gt;"",IF(LEFT(V48,1)="S", Calculs!$B$47,0),0)</f>
        <v>0</v>
      </c>
      <c r="BG48" s="23">
        <f xml:space="preserve"> IF(W48&lt;&gt;"",IF(LEFT(W48,1)="S", Calculs!$B$48,0),0)</f>
        <v>0</v>
      </c>
      <c r="BH48" s="29" t="str">
        <f t="shared" si="28"/>
        <v/>
      </c>
      <c r="BI48" s="23">
        <f>SUMIF(Calculs!$A$32:$A$35,BH48,Calculs!$B$32:$B$35)</f>
        <v>0</v>
      </c>
      <c r="BJ48" s="185" t="str">
        <f t="shared" si="21"/>
        <v>N</v>
      </c>
      <c r="BK48" s="23">
        <f t="shared" si="22"/>
        <v>0</v>
      </c>
      <c r="BL48" s="23">
        <f>IF(AND(AR48&lt;&gt;0,BJ48="S"),VLOOKUP(AR48,Calculs!$A$53:$B$58,2,FALSE), 0)</f>
        <v>0</v>
      </c>
      <c r="BM48" s="16">
        <f t="shared" si="23"/>
        <v>0</v>
      </c>
    </row>
    <row r="49" spans="2:65" ht="13.8">
      <c r="B49" s="187"/>
      <c r="H49" s="12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138"/>
      <c r="U49" s="186"/>
      <c r="V49" s="186"/>
      <c r="W49" s="186"/>
      <c r="AA49" s="138"/>
      <c r="AB49" s="138"/>
      <c r="AC49" s="138"/>
      <c r="AD49" s="139"/>
      <c r="AE49" s="140"/>
      <c r="AF49" s="141"/>
      <c r="AG49" s="141"/>
      <c r="AH49" s="141"/>
      <c r="AI49" s="142"/>
      <c r="AJ49" s="142"/>
      <c r="AK49" s="142"/>
      <c r="AL49" s="142"/>
      <c r="AM49" s="197"/>
      <c r="AN49" s="19"/>
      <c r="AO49" s="16" t="str">
        <f t="shared" si="18"/>
        <v/>
      </c>
      <c r="AP49" s="17" t="e">
        <f t="shared" si="19"/>
        <v>#N/A</v>
      </c>
      <c r="AQ49" s="25" t="str">
        <f t="shared" si="24"/>
        <v/>
      </c>
      <c r="AR49" s="32">
        <f t="shared" si="25"/>
        <v>0</v>
      </c>
      <c r="AS49" s="32">
        <f xml:space="preserve"> COUNTIF($B$11:B49,B49)</f>
        <v>0</v>
      </c>
      <c r="AT49" s="32" t="str">
        <f t="shared" si="20"/>
        <v>01N</v>
      </c>
      <c r="AU49" s="22" t="str">
        <f t="shared" si="26"/>
        <v/>
      </c>
      <c r="AV49" s="23">
        <f>SUMIF(Calculs!$A$2:$A$33,AU49,Calculs!$B$2:$B$33)</f>
        <v>0</v>
      </c>
      <c r="AW49" s="23">
        <f xml:space="preserve"> IF(K49&lt;&gt;"",IF(LEFT(K49,1)="S", Calculs!$B$49,0),0)</f>
        <v>0</v>
      </c>
      <c r="AX49" s="23">
        <f xml:space="preserve"> IF(L49&lt;&gt;"",IF(LEFT(L49,1)="S", Calculs!$B$47,0),0)</f>
        <v>0</v>
      </c>
      <c r="AY49" s="23">
        <f xml:space="preserve"> IF(M49&lt;&gt;"",IF(LEFT(M49,1)="S", Calculs!$B$48,0),0)</f>
        <v>0</v>
      </c>
      <c r="AZ49" s="29" t="str">
        <f t="shared" si="27"/>
        <v/>
      </c>
      <c r="BA49" s="29">
        <f>SUMIF(Calculs!$A$2:$A$33,AZ49,Calculs!$B$2:$B$33)</f>
        <v>0</v>
      </c>
      <c r="BB49" s="23">
        <f xml:space="preserve"> IF(Q49&lt;&gt;"",IF(LEFT(Q49,1)="S", Calculs!$B$48,0),0)</f>
        <v>0</v>
      </c>
      <c r="BC49" s="23">
        <f xml:space="preserve"> IF(R49&lt;&gt;"",IF(LEFT(R49,1)="S", Calculs!$B$47,0),0)</f>
        <v>0</v>
      </c>
      <c r="BD49" s="23">
        <f>SUMIF(Calculs!$A$40:$A$43,LEFT(S49,2),Calculs!$B$40:$B$43)</f>
        <v>0</v>
      </c>
      <c r="BE49" s="23">
        <f xml:space="preserve"> IF(U49&lt;&gt;"",IF(LEFT(U49,3)="ETT", Calculs!$B$36,0),0)</f>
        <v>0</v>
      </c>
      <c r="BF49" s="23">
        <f xml:space="preserve"> IF(V49&lt;&gt;"",IF(LEFT(V49,1)="S", Calculs!$B$47,0),0)</f>
        <v>0</v>
      </c>
      <c r="BG49" s="23">
        <f xml:space="preserve"> IF(W49&lt;&gt;"",IF(LEFT(W49,1)="S", Calculs!$B$48,0),0)</f>
        <v>0</v>
      </c>
      <c r="BH49" s="29" t="str">
        <f t="shared" si="28"/>
        <v/>
      </c>
      <c r="BI49" s="23">
        <f>SUMIF(Calculs!$A$32:$A$35,BH49,Calculs!$B$32:$B$35)</f>
        <v>0</v>
      </c>
      <c r="BJ49" s="185" t="str">
        <f t="shared" si="21"/>
        <v>N</v>
      </c>
      <c r="BK49" s="23">
        <f t="shared" si="22"/>
        <v>0</v>
      </c>
      <c r="BL49" s="23">
        <f>IF(AND(AR49&lt;&gt;0,BJ49="S"),VLOOKUP(AR49,Calculs!$A$53:$B$58,2,FALSE), 0)</f>
        <v>0</v>
      </c>
      <c r="BM49" s="16">
        <f t="shared" si="23"/>
        <v>0</v>
      </c>
    </row>
    <row r="50" spans="2:65" ht="13.8">
      <c r="B50" s="187"/>
      <c r="H50" s="12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138"/>
      <c r="U50" s="186"/>
      <c r="V50" s="186"/>
      <c r="W50" s="186"/>
      <c r="AA50" s="138"/>
      <c r="AB50" s="138"/>
      <c r="AC50" s="138"/>
      <c r="AD50" s="139"/>
      <c r="AE50" s="140"/>
      <c r="AF50" s="141"/>
      <c r="AG50" s="141"/>
      <c r="AH50" s="141"/>
      <c r="AI50" s="142"/>
      <c r="AJ50" s="142"/>
      <c r="AK50" s="142"/>
      <c r="AL50" s="142"/>
      <c r="AM50" s="197"/>
      <c r="AN50" s="19"/>
      <c r="AO50" s="16" t="str">
        <f t="shared" si="18"/>
        <v/>
      </c>
      <c r="AP50" s="17" t="e">
        <f t="shared" si="19"/>
        <v>#N/A</v>
      </c>
      <c r="AQ50" s="25" t="str">
        <f t="shared" si="24"/>
        <v/>
      </c>
      <c r="AR50" s="32">
        <f t="shared" si="25"/>
        <v>0</v>
      </c>
      <c r="AS50" s="32">
        <f xml:space="preserve"> COUNTIF($B$11:B50,B50)</f>
        <v>0</v>
      </c>
      <c r="AT50" s="32" t="str">
        <f t="shared" si="20"/>
        <v>01N</v>
      </c>
      <c r="AU50" s="22" t="str">
        <f t="shared" si="26"/>
        <v/>
      </c>
      <c r="AV50" s="23">
        <f>SUMIF(Calculs!$A$2:$A$33,AU50,Calculs!$B$2:$B$33)</f>
        <v>0</v>
      </c>
      <c r="AW50" s="23">
        <f xml:space="preserve"> IF(K50&lt;&gt;"",IF(LEFT(K50,1)="S", Calculs!$B$49,0),0)</f>
        <v>0</v>
      </c>
      <c r="AX50" s="23">
        <f xml:space="preserve"> IF(L50&lt;&gt;"",IF(LEFT(L50,1)="S", Calculs!$B$47,0),0)</f>
        <v>0</v>
      </c>
      <c r="AY50" s="23">
        <f xml:space="preserve"> IF(M50&lt;&gt;"",IF(LEFT(M50,1)="S", Calculs!$B$48,0),0)</f>
        <v>0</v>
      </c>
      <c r="AZ50" s="29" t="str">
        <f t="shared" si="27"/>
        <v/>
      </c>
      <c r="BA50" s="29">
        <f>SUMIF(Calculs!$A$2:$A$33,AZ50,Calculs!$B$2:$B$33)</f>
        <v>0</v>
      </c>
      <c r="BB50" s="23">
        <f xml:space="preserve"> IF(Q50&lt;&gt;"",IF(LEFT(Q50,1)="S", Calculs!$B$48,0),0)</f>
        <v>0</v>
      </c>
      <c r="BC50" s="23">
        <f xml:space="preserve"> IF(R50&lt;&gt;"",IF(LEFT(R50,1)="S", Calculs!$B$47,0),0)</f>
        <v>0</v>
      </c>
      <c r="BD50" s="23">
        <f>SUMIF(Calculs!$A$40:$A$43,LEFT(S50,2),Calculs!$B$40:$B$43)</f>
        <v>0</v>
      </c>
      <c r="BE50" s="23">
        <f xml:space="preserve"> IF(U50&lt;&gt;"",IF(LEFT(U50,3)="ETT", Calculs!$B$36,0),0)</f>
        <v>0</v>
      </c>
      <c r="BF50" s="23">
        <f xml:space="preserve"> IF(V50&lt;&gt;"",IF(LEFT(V50,1)="S", Calculs!$B$47,0),0)</f>
        <v>0</v>
      </c>
      <c r="BG50" s="23">
        <f xml:space="preserve"> IF(W50&lt;&gt;"",IF(LEFT(W50,1)="S", Calculs!$B$48,0),0)</f>
        <v>0</v>
      </c>
      <c r="BH50" s="29" t="str">
        <f t="shared" si="28"/>
        <v/>
      </c>
      <c r="BI50" s="23">
        <f>SUMIF(Calculs!$A$32:$A$35,BH50,Calculs!$B$32:$B$35)</f>
        <v>0</v>
      </c>
      <c r="BJ50" s="185" t="str">
        <f t="shared" si="21"/>
        <v>N</v>
      </c>
      <c r="BK50" s="23">
        <f t="shared" si="22"/>
        <v>0</v>
      </c>
      <c r="BL50" s="23">
        <f>IF(AND(AR50&lt;&gt;0,BJ50="S"),VLOOKUP(AR50,Calculs!$A$53:$B$58,2,FALSE), 0)</f>
        <v>0</v>
      </c>
      <c r="BM50" s="16">
        <f t="shared" si="23"/>
        <v>0</v>
      </c>
    </row>
    <row r="51" spans="2:65" ht="13.8">
      <c r="B51" s="187"/>
      <c r="H51" s="12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138"/>
      <c r="U51" s="186"/>
      <c r="V51" s="186"/>
      <c r="W51" s="186"/>
      <c r="AA51" s="138"/>
      <c r="AB51" s="138"/>
      <c r="AC51" s="138"/>
      <c r="AD51" s="139"/>
      <c r="AE51" s="140"/>
      <c r="AF51" s="141"/>
      <c r="AG51" s="141"/>
      <c r="AH51" s="141"/>
      <c r="AI51" s="142"/>
      <c r="AJ51" s="142"/>
      <c r="AK51" s="142"/>
      <c r="AL51" s="142"/>
      <c r="AM51" s="197"/>
      <c r="AN51" s="19"/>
      <c r="AO51" s="16" t="str">
        <f t="shared" si="18"/>
        <v/>
      </c>
      <c r="AP51" s="17" t="e">
        <f t="shared" si="19"/>
        <v>#N/A</v>
      </c>
      <c r="AQ51" s="25" t="str">
        <f t="shared" si="24"/>
        <v/>
      </c>
      <c r="AR51" s="32">
        <f t="shared" si="25"/>
        <v>0</v>
      </c>
      <c r="AS51" s="32">
        <f xml:space="preserve"> COUNTIF($B$11:B51,B51)</f>
        <v>0</v>
      </c>
      <c r="AT51" s="32" t="str">
        <f t="shared" si="20"/>
        <v>01N</v>
      </c>
      <c r="AU51" s="22" t="str">
        <f t="shared" si="26"/>
        <v/>
      </c>
      <c r="AV51" s="23">
        <f>SUMIF(Calculs!$A$2:$A$33,AU51,Calculs!$B$2:$B$33)</f>
        <v>0</v>
      </c>
      <c r="AW51" s="23">
        <f xml:space="preserve"> IF(K51&lt;&gt;"",IF(LEFT(K51,1)="S", Calculs!$B$49,0),0)</f>
        <v>0</v>
      </c>
      <c r="AX51" s="23">
        <f xml:space="preserve"> IF(L51&lt;&gt;"",IF(LEFT(L51,1)="S", Calculs!$B$47,0),0)</f>
        <v>0</v>
      </c>
      <c r="AY51" s="23">
        <f xml:space="preserve"> IF(M51&lt;&gt;"",IF(LEFT(M51,1)="S", Calculs!$B$48,0),0)</f>
        <v>0</v>
      </c>
      <c r="AZ51" s="29" t="str">
        <f t="shared" si="27"/>
        <v/>
      </c>
      <c r="BA51" s="29">
        <f>SUMIF(Calculs!$A$2:$A$33,AZ51,Calculs!$B$2:$B$33)</f>
        <v>0</v>
      </c>
      <c r="BB51" s="23">
        <f xml:space="preserve"> IF(Q51&lt;&gt;"",IF(LEFT(Q51,1)="S", Calculs!$B$48,0),0)</f>
        <v>0</v>
      </c>
      <c r="BC51" s="23">
        <f xml:space="preserve"> IF(R51&lt;&gt;"",IF(LEFT(R51,1)="S", Calculs!$B$47,0),0)</f>
        <v>0</v>
      </c>
      <c r="BD51" s="23">
        <f>SUMIF(Calculs!$A$40:$A$43,LEFT(S51,2),Calculs!$B$40:$B$43)</f>
        <v>0</v>
      </c>
      <c r="BE51" s="23">
        <f xml:space="preserve"> IF(U51&lt;&gt;"",IF(LEFT(U51,3)="ETT", Calculs!$B$36,0),0)</f>
        <v>0</v>
      </c>
      <c r="BF51" s="23">
        <f xml:space="preserve"> IF(V51&lt;&gt;"",IF(LEFT(V51,1)="S", Calculs!$B$47,0),0)</f>
        <v>0</v>
      </c>
      <c r="BG51" s="23">
        <f xml:space="preserve"> IF(W51&lt;&gt;"",IF(LEFT(W51,1)="S", Calculs!$B$48,0),0)</f>
        <v>0</v>
      </c>
      <c r="BH51" s="29" t="str">
        <f t="shared" si="28"/>
        <v/>
      </c>
      <c r="BI51" s="23">
        <f>SUMIF(Calculs!$A$32:$A$35,BH51,Calculs!$B$32:$B$35)</f>
        <v>0</v>
      </c>
      <c r="BJ51" s="185" t="str">
        <f t="shared" si="21"/>
        <v>N</v>
      </c>
      <c r="BK51" s="23">
        <f t="shared" si="22"/>
        <v>0</v>
      </c>
      <c r="BL51" s="23">
        <f>IF(AND(AR51&lt;&gt;0,BJ51="S"),VLOOKUP(AR51,Calculs!$A$53:$B$58,2,FALSE), 0)</f>
        <v>0</v>
      </c>
      <c r="BM51" s="16">
        <f t="shared" si="23"/>
        <v>0</v>
      </c>
    </row>
    <row r="52" spans="2:65" ht="13.8">
      <c r="B52" s="187"/>
      <c r="H52" s="12"/>
      <c r="I52" s="34"/>
      <c r="J52" s="34"/>
      <c r="K52" s="34"/>
      <c r="L52" s="34"/>
      <c r="M52" s="34"/>
      <c r="N52" s="34"/>
      <c r="O52" s="34"/>
      <c r="P52" s="34"/>
      <c r="Q52" s="34"/>
      <c r="R52" s="34"/>
      <c r="S52" s="34"/>
      <c r="T52" s="138"/>
      <c r="U52" s="186"/>
      <c r="V52" s="186"/>
      <c r="W52" s="186"/>
      <c r="AA52" s="138"/>
      <c r="AB52" s="138"/>
      <c r="AC52" s="138"/>
      <c r="AD52" s="139"/>
      <c r="AE52" s="140"/>
      <c r="AF52" s="141"/>
      <c r="AG52" s="141"/>
      <c r="AH52" s="141"/>
      <c r="AI52" s="142"/>
      <c r="AJ52" s="142"/>
      <c r="AK52" s="142"/>
      <c r="AL52" s="142"/>
      <c r="AM52" s="197"/>
      <c r="AN52" s="19"/>
      <c r="AO52" s="16" t="str">
        <f t="shared" si="18"/>
        <v/>
      </c>
      <c r="AP52" s="17" t="e">
        <f t="shared" si="19"/>
        <v>#N/A</v>
      </c>
      <c r="AQ52" s="25" t="str">
        <f t="shared" si="24"/>
        <v/>
      </c>
      <c r="AR52" s="32">
        <f t="shared" si="25"/>
        <v>0</v>
      </c>
      <c r="AS52" s="32">
        <f xml:space="preserve"> COUNTIF($B$11:B52,B52)</f>
        <v>0</v>
      </c>
      <c r="AT52" s="32" t="str">
        <f t="shared" si="20"/>
        <v>01N</v>
      </c>
      <c r="AU52" s="22" t="str">
        <f t="shared" si="26"/>
        <v/>
      </c>
      <c r="AV52" s="23">
        <f>SUMIF(Calculs!$A$2:$A$33,AU52,Calculs!$B$2:$B$33)</f>
        <v>0</v>
      </c>
      <c r="AW52" s="23">
        <f xml:space="preserve"> IF(K52&lt;&gt;"",IF(LEFT(K52,1)="S", Calculs!$B$49,0),0)</f>
        <v>0</v>
      </c>
      <c r="AX52" s="23">
        <f xml:space="preserve"> IF(L52&lt;&gt;"",IF(LEFT(L52,1)="S", Calculs!$B$47,0),0)</f>
        <v>0</v>
      </c>
      <c r="AY52" s="23">
        <f xml:space="preserve"> IF(M52&lt;&gt;"",IF(LEFT(M52,1)="S", Calculs!$B$48,0),0)</f>
        <v>0</v>
      </c>
      <c r="AZ52" s="29" t="str">
        <f t="shared" si="27"/>
        <v/>
      </c>
      <c r="BA52" s="29">
        <f>SUMIF(Calculs!$A$2:$A$33,AZ52,Calculs!$B$2:$B$33)</f>
        <v>0</v>
      </c>
      <c r="BB52" s="23">
        <f xml:space="preserve"> IF(Q52&lt;&gt;"",IF(LEFT(Q52,1)="S", Calculs!$B$48,0),0)</f>
        <v>0</v>
      </c>
      <c r="BC52" s="23">
        <f xml:space="preserve"> IF(R52&lt;&gt;"",IF(LEFT(R52,1)="S", Calculs!$B$47,0),0)</f>
        <v>0</v>
      </c>
      <c r="BD52" s="23">
        <f>SUMIF(Calculs!$A$40:$A$43,LEFT(S52,2),Calculs!$B$40:$B$43)</f>
        <v>0</v>
      </c>
      <c r="BE52" s="23">
        <f xml:space="preserve"> IF(U52&lt;&gt;"",IF(LEFT(U52,3)="ETT", Calculs!$B$36,0),0)</f>
        <v>0</v>
      </c>
      <c r="BF52" s="23">
        <f xml:space="preserve"> IF(V52&lt;&gt;"",IF(LEFT(V52,1)="S", Calculs!$B$47,0),0)</f>
        <v>0</v>
      </c>
      <c r="BG52" s="23">
        <f xml:space="preserve"> IF(W52&lt;&gt;"",IF(LEFT(W52,1)="S", Calculs!$B$48,0),0)</f>
        <v>0</v>
      </c>
      <c r="BH52" s="29" t="str">
        <f t="shared" si="28"/>
        <v/>
      </c>
      <c r="BI52" s="23">
        <f>SUMIF(Calculs!$A$32:$A$35,BH52,Calculs!$B$32:$B$35)</f>
        <v>0</v>
      </c>
      <c r="BJ52" s="185" t="str">
        <f t="shared" si="21"/>
        <v>N</v>
      </c>
      <c r="BK52" s="23">
        <f t="shared" si="22"/>
        <v>0</v>
      </c>
      <c r="BL52" s="23">
        <f>IF(AND(AR52&lt;&gt;0,BJ52="S"),VLOOKUP(AR52,Calculs!$A$53:$B$58,2,FALSE), 0)</f>
        <v>0</v>
      </c>
      <c r="BM52" s="16">
        <f t="shared" si="23"/>
        <v>0</v>
      </c>
    </row>
    <row r="53" spans="2:65" ht="13.8">
      <c r="B53" s="187"/>
      <c r="H53" s="12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138"/>
      <c r="U53" s="186"/>
      <c r="V53" s="186"/>
      <c r="W53" s="186"/>
      <c r="AA53" s="138"/>
      <c r="AB53" s="138"/>
      <c r="AC53" s="138"/>
      <c r="AD53" s="139"/>
      <c r="AE53" s="140"/>
      <c r="AF53" s="141"/>
      <c r="AG53" s="141"/>
      <c r="AH53" s="141"/>
      <c r="AI53" s="142"/>
      <c r="AJ53" s="142"/>
      <c r="AK53" s="142"/>
      <c r="AL53" s="142"/>
      <c r="AM53" s="197"/>
      <c r="AN53" s="19"/>
      <c r="AO53" s="16" t="str">
        <f t="shared" si="18"/>
        <v/>
      </c>
      <c r="AP53" s="17" t="e">
        <f t="shared" si="19"/>
        <v>#N/A</v>
      </c>
      <c r="AQ53" s="25" t="str">
        <f t="shared" si="24"/>
        <v/>
      </c>
      <c r="AR53" s="32">
        <f t="shared" si="25"/>
        <v>0</v>
      </c>
      <c r="AS53" s="32">
        <f xml:space="preserve"> COUNTIF($B$11:B53,B53)</f>
        <v>0</v>
      </c>
      <c r="AT53" s="32" t="str">
        <f t="shared" si="20"/>
        <v>01N</v>
      </c>
      <c r="AU53" s="22" t="str">
        <f t="shared" si="26"/>
        <v/>
      </c>
      <c r="AV53" s="23">
        <f>SUMIF(Calculs!$A$2:$A$33,AU53,Calculs!$B$2:$B$33)</f>
        <v>0</v>
      </c>
      <c r="AW53" s="23">
        <f xml:space="preserve"> IF(K53&lt;&gt;"",IF(LEFT(K53,1)="S", Calculs!$B$49,0),0)</f>
        <v>0</v>
      </c>
      <c r="AX53" s="23">
        <f xml:space="preserve"> IF(L53&lt;&gt;"",IF(LEFT(L53,1)="S", Calculs!$B$47,0),0)</f>
        <v>0</v>
      </c>
      <c r="AY53" s="23">
        <f xml:space="preserve"> IF(M53&lt;&gt;"",IF(LEFT(M53,1)="S", Calculs!$B$48,0),0)</f>
        <v>0</v>
      </c>
      <c r="AZ53" s="29" t="str">
        <f t="shared" si="27"/>
        <v/>
      </c>
      <c r="BA53" s="29">
        <f>SUMIF(Calculs!$A$2:$A$33,AZ53,Calculs!$B$2:$B$33)</f>
        <v>0</v>
      </c>
      <c r="BB53" s="23">
        <f xml:space="preserve"> IF(Q53&lt;&gt;"",IF(LEFT(Q53,1)="S", Calculs!$B$48,0),0)</f>
        <v>0</v>
      </c>
      <c r="BC53" s="23">
        <f xml:space="preserve"> IF(R53&lt;&gt;"",IF(LEFT(R53,1)="S", Calculs!$B$47,0),0)</f>
        <v>0</v>
      </c>
      <c r="BD53" s="23">
        <f>SUMIF(Calculs!$A$40:$A$43,LEFT(S53,2),Calculs!$B$40:$B$43)</f>
        <v>0</v>
      </c>
      <c r="BE53" s="23">
        <f xml:space="preserve"> IF(U53&lt;&gt;"",IF(LEFT(U53,3)="ETT", Calculs!$B$36,0),0)</f>
        <v>0</v>
      </c>
      <c r="BF53" s="23">
        <f xml:space="preserve"> IF(V53&lt;&gt;"",IF(LEFT(V53,1)="S", Calculs!$B$47,0),0)</f>
        <v>0</v>
      </c>
      <c r="BG53" s="23">
        <f xml:space="preserve"> IF(W53&lt;&gt;"",IF(LEFT(W53,1)="S", Calculs!$B$48,0),0)</f>
        <v>0</v>
      </c>
      <c r="BH53" s="29" t="str">
        <f t="shared" si="28"/>
        <v/>
      </c>
      <c r="BI53" s="23">
        <f>SUMIF(Calculs!$A$32:$A$35,BH53,Calculs!$B$32:$B$35)</f>
        <v>0</v>
      </c>
      <c r="BJ53" s="185" t="str">
        <f t="shared" si="21"/>
        <v>N</v>
      </c>
      <c r="BK53" s="23">
        <f t="shared" si="22"/>
        <v>0</v>
      </c>
      <c r="BL53" s="23">
        <f>IF(AND(AR53&lt;&gt;0,BJ53="S"),VLOOKUP(AR53,Calculs!$A$53:$B$58,2,FALSE), 0)</f>
        <v>0</v>
      </c>
      <c r="BM53" s="16">
        <f t="shared" si="23"/>
        <v>0</v>
      </c>
    </row>
    <row r="54" spans="2:65" ht="13.8">
      <c r="B54" s="187"/>
      <c r="H54" s="12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138"/>
      <c r="U54" s="186"/>
      <c r="V54" s="186"/>
      <c r="W54" s="186"/>
      <c r="AA54" s="138"/>
      <c r="AB54" s="138"/>
      <c r="AC54" s="138"/>
      <c r="AD54" s="139"/>
      <c r="AE54" s="140"/>
      <c r="AF54" s="141"/>
      <c r="AG54" s="141"/>
      <c r="AH54" s="141"/>
      <c r="AI54" s="142"/>
      <c r="AJ54" s="142"/>
      <c r="AK54" s="142"/>
      <c r="AL54" s="142"/>
      <c r="AM54" s="197"/>
      <c r="AN54" s="19"/>
      <c r="AO54" s="16" t="str">
        <f t="shared" si="18"/>
        <v/>
      </c>
      <c r="AP54" s="17" t="e">
        <f t="shared" si="19"/>
        <v>#N/A</v>
      </c>
      <c r="AQ54" s="25" t="str">
        <f t="shared" si="24"/>
        <v/>
      </c>
      <c r="AR54" s="32">
        <f t="shared" si="25"/>
        <v>0</v>
      </c>
      <c r="AS54" s="32">
        <f xml:space="preserve"> COUNTIF($B$11:B54,B54)</f>
        <v>0</v>
      </c>
      <c r="AT54" s="32" t="str">
        <f t="shared" si="20"/>
        <v>01N</v>
      </c>
      <c r="AU54" s="22" t="str">
        <f t="shared" si="26"/>
        <v/>
      </c>
      <c r="AV54" s="23">
        <f>SUMIF(Calculs!$A$2:$A$33,AU54,Calculs!$B$2:$B$33)</f>
        <v>0</v>
      </c>
      <c r="AW54" s="23">
        <f xml:space="preserve"> IF(K54&lt;&gt;"",IF(LEFT(K54,1)="S", Calculs!$B$49,0),0)</f>
        <v>0</v>
      </c>
      <c r="AX54" s="23">
        <f xml:space="preserve"> IF(L54&lt;&gt;"",IF(LEFT(L54,1)="S", Calculs!$B$47,0),0)</f>
        <v>0</v>
      </c>
      <c r="AY54" s="23">
        <f xml:space="preserve"> IF(M54&lt;&gt;"",IF(LEFT(M54,1)="S", Calculs!$B$48,0),0)</f>
        <v>0</v>
      </c>
      <c r="AZ54" s="29" t="str">
        <f t="shared" si="27"/>
        <v/>
      </c>
      <c r="BA54" s="29">
        <f>SUMIF(Calculs!$A$2:$A$33,AZ54,Calculs!$B$2:$B$33)</f>
        <v>0</v>
      </c>
      <c r="BB54" s="23">
        <f xml:space="preserve"> IF(Q54&lt;&gt;"",IF(LEFT(Q54,1)="S", Calculs!$B$48,0),0)</f>
        <v>0</v>
      </c>
      <c r="BC54" s="23">
        <f xml:space="preserve"> IF(R54&lt;&gt;"",IF(LEFT(R54,1)="S", Calculs!$B$47,0),0)</f>
        <v>0</v>
      </c>
      <c r="BD54" s="23">
        <f>SUMIF(Calculs!$A$40:$A$43,LEFT(S54,2),Calculs!$B$40:$B$43)</f>
        <v>0</v>
      </c>
      <c r="BE54" s="23">
        <f xml:space="preserve"> IF(U54&lt;&gt;"",IF(LEFT(U54,3)="ETT", Calculs!$B$36,0),0)</f>
        <v>0</v>
      </c>
      <c r="BF54" s="23">
        <f xml:space="preserve"> IF(V54&lt;&gt;"",IF(LEFT(V54,1)="S", Calculs!$B$47,0),0)</f>
        <v>0</v>
      </c>
      <c r="BG54" s="23">
        <f xml:space="preserve"> IF(W54&lt;&gt;"",IF(LEFT(W54,1)="S", Calculs!$B$48,0),0)</f>
        <v>0</v>
      </c>
      <c r="BH54" s="29" t="str">
        <f t="shared" si="28"/>
        <v/>
      </c>
      <c r="BI54" s="23">
        <f>SUMIF(Calculs!$A$32:$A$35,BH54,Calculs!$B$32:$B$35)</f>
        <v>0</v>
      </c>
      <c r="BJ54" s="185" t="str">
        <f t="shared" si="21"/>
        <v>N</v>
      </c>
      <c r="BK54" s="23">
        <f t="shared" si="22"/>
        <v>0</v>
      </c>
      <c r="BL54" s="23">
        <f>IF(AND(AR54&lt;&gt;0,BJ54="S"),VLOOKUP(AR54,Calculs!$A$53:$B$58,2,FALSE), 0)</f>
        <v>0</v>
      </c>
      <c r="BM54" s="16">
        <f t="shared" si="23"/>
        <v>0</v>
      </c>
    </row>
    <row r="55" spans="2:65" ht="13.8">
      <c r="B55" s="187"/>
      <c r="H55" s="12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138"/>
      <c r="U55" s="186"/>
      <c r="V55" s="186"/>
      <c r="W55" s="186"/>
      <c r="AA55" s="138"/>
      <c r="AB55" s="138"/>
      <c r="AC55" s="138"/>
      <c r="AD55" s="139"/>
      <c r="AE55" s="140"/>
      <c r="AF55" s="141"/>
      <c r="AG55" s="141"/>
      <c r="AH55" s="141"/>
      <c r="AI55" s="142"/>
      <c r="AJ55" s="142"/>
      <c r="AK55" s="142"/>
      <c r="AL55" s="142"/>
      <c r="AM55" s="197"/>
      <c r="AN55" s="19"/>
      <c r="AO55" s="16" t="str">
        <f t="shared" si="18"/>
        <v/>
      </c>
      <c r="AP55" s="17" t="e">
        <f t="shared" si="19"/>
        <v>#N/A</v>
      </c>
      <c r="AQ55" s="25" t="str">
        <f t="shared" si="24"/>
        <v/>
      </c>
      <c r="AR55" s="32">
        <f t="shared" si="25"/>
        <v>0</v>
      </c>
      <c r="AS55" s="32">
        <f xml:space="preserve"> COUNTIF($B$11:B55,B55)</f>
        <v>0</v>
      </c>
      <c r="AT55" s="32" t="str">
        <f t="shared" si="20"/>
        <v>01N</v>
      </c>
      <c r="AU55" s="22" t="str">
        <f t="shared" si="26"/>
        <v/>
      </c>
      <c r="AV55" s="23">
        <f>SUMIF(Calculs!$A$2:$A$33,AU55,Calculs!$B$2:$B$33)</f>
        <v>0</v>
      </c>
      <c r="AW55" s="23">
        <f xml:space="preserve"> IF(K55&lt;&gt;"",IF(LEFT(K55,1)="S", Calculs!$B$49,0),0)</f>
        <v>0</v>
      </c>
      <c r="AX55" s="23">
        <f xml:space="preserve"> IF(L55&lt;&gt;"",IF(LEFT(L55,1)="S", Calculs!$B$47,0),0)</f>
        <v>0</v>
      </c>
      <c r="AY55" s="23">
        <f xml:space="preserve"> IF(M55&lt;&gt;"",IF(LEFT(M55,1)="S", Calculs!$B$48,0),0)</f>
        <v>0</v>
      </c>
      <c r="AZ55" s="29" t="str">
        <f t="shared" si="27"/>
        <v/>
      </c>
      <c r="BA55" s="29">
        <f>SUMIF(Calculs!$A$2:$A$33,AZ55,Calculs!$B$2:$B$33)</f>
        <v>0</v>
      </c>
      <c r="BB55" s="23">
        <f xml:space="preserve"> IF(Q55&lt;&gt;"",IF(LEFT(Q55,1)="S", Calculs!$B$48,0),0)</f>
        <v>0</v>
      </c>
      <c r="BC55" s="23">
        <f xml:space="preserve"> IF(R55&lt;&gt;"",IF(LEFT(R55,1)="S", Calculs!$B$47,0),0)</f>
        <v>0</v>
      </c>
      <c r="BD55" s="23">
        <f>SUMIF(Calculs!$A$40:$A$43,LEFT(S55,2),Calculs!$B$40:$B$43)</f>
        <v>0</v>
      </c>
      <c r="BE55" s="23">
        <f xml:space="preserve"> IF(U55&lt;&gt;"",IF(LEFT(U55,3)="ETT", Calculs!$B$36,0),0)</f>
        <v>0</v>
      </c>
      <c r="BF55" s="23">
        <f xml:space="preserve"> IF(V55&lt;&gt;"",IF(LEFT(V55,1)="S", Calculs!$B$47,0),0)</f>
        <v>0</v>
      </c>
      <c r="BG55" s="23">
        <f xml:space="preserve"> IF(W55&lt;&gt;"",IF(LEFT(W55,1)="S", Calculs!$B$48,0),0)</f>
        <v>0</v>
      </c>
      <c r="BH55" s="29" t="str">
        <f t="shared" si="28"/>
        <v/>
      </c>
      <c r="BI55" s="23">
        <f>SUMIF(Calculs!$A$32:$A$35,BH55,Calculs!$B$32:$B$35)</f>
        <v>0</v>
      </c>
      <c r="BJ55" s="185" t="str">
        <f t="shared" si="21"/>
        <v>N</v>
      </c>
      <c r="BK55" s="23">
        <f t="shared" si="22"/>
        <v>0</v>
      </c>
      <c r="BL55" s="23">
        <f>IF(AND(AR55&lt;&gt;0,BJ55="S"),VLOOKUP(AR55,Calculs!$A$53:$B$58,2,FALSE), 0)</f>
        <v>0</v>
      </c>
      <c r="BM55" s="16">
        <f t="shared" si="23"/>
        <v>0</v>
      </c>
    </row>
    <row r="56" spans="2:65" ht="13.8">
      <c r="B56" s="187"/>
      <c r="H56" s="12"/>
      <c r="I56" s="34"/>
      <c r="J56" s="34"/>
      <c r="K56" s="34"/>
      <c r="L56" s="34"/>
      <c r="M56" s="34"/>
      <c r="N56" s="34"/>
      <c r="O56" s="34"/>
      <c r="P56" s="34"/>
      <c r="Q56" s="34"/>
      <c r="R56" s="34"/>
      <c r="S56" s="34"/>
      <c r="T56" s="138"/>
      <c r="U56" s="186"/>
      <c r="V56" s="186"/>
      <c r="W56" s="186"/>
      <c r="AA56" s="138"/>
      <c r="AB56" s="138"/>
      <c r="AC56" s="138"/>
      <c r="AD56" s="139"/>
      <c r="AE56" s="140"/>
      <c r="AF56" s="141"/>
      <c r="AG56" s="141"/>
      <c r="AH56" s="141"/>
      <c r="AI56" s="142"/>
      <c r="AJ56" s="142"/>
      <c r="AK56" s="142"/>
      <c r="AL56" s="142"/>
      <c r="AM56" s="197"/>
      <c r="AN56" s="19"/>
      <c r="AO56" s="16" t="str">
        <f t="shared" si="18"/>
        <v/>
      </c>
      <c r="AP56" s="17" t="e">
        <f t="shared" si="19"/>
        <v>#N/A</v>
      </c>
      <c r="AQ56" s="25" t="str">
        <f t="shared" si="24"/>
        <v/>
      </c>
      <c r="AR56" s="32">
        <f t="shared" si="25"/>
        <v>0</v>
      </c>
      <c r="AS56" s="32">
        <f xml:space="preserve"> COUNTIF($B$11:B56,B56)</f>
        <v>0</v>
      </c>
      <c r="AT56" s="32" t="str">
        <f t="shared" si="20"/>
        <v>01N</v>
      </c>
      <c r="AU56" s="22" t="str">
        <f t="shared" si="26"/>
        <v/>
      </c>
      <c r="AV56" s="23">
        <f>SUMIF(Calculs!$A$2:$A$33,AU56,Calculs!$B$2:$B$33)</f>
        <v>0</v>
      </c>
      <c r="AW56" s="23">
        <f xml:space="preserve"> IF(K56&lt;&gt;"",IF(LEFT(K56,1)="S", Calculs!$B$49,0),0)</f>
        <v>0</v>
      </c>
      <c r="AX56" s="23">
        <f xml:space="preserve"> IF(L56&lt;&gt;"",IF(LEFT(L56,1)="S", Calculs!$B$47,0),0)</f>
        <v>0</v>
      </c>
      <c r="AY56" s="23">
        <f xml:space="preserve"> IF(M56&lt;&gt;"",IF(LEFT(M56,1)="S", Calculs!$B$48,0),0)</f>
        <v>0</v>
      </c>
      <c r="AZ56" s="29" t="str">
        <f t="shared" si="27"/>
        <v/>
      </c>
      <c r="BA56" s="29">
        <f>SUMIF(Calculs!$A$2:$A$33,AZ56,Calculs!$B$2:$B$33)</f>
        <v>0</v>
      </c>
      <c r="BB56" s="23">
        <f xml:space="preserve"> IF(Q56&lt;&gt;"",IF(LEFT(Q56,1)="S", Calculs!$B$48,0),0)</f>
        <v>0</v>
      </c>
      <c r="BC56" s="23">
        <f xml:space="preserve"> IF(R56&lt;&gt;"",IF(LEFT(R56,1)="S", Calculs!$B$47,0),0)</f>
        <v>0</v>
      </c>
      <c r="BD56" s="23">
        <f>SUMIF(Calculs!$A$40:$A$43,LEFT(S56,2),Calculs!$B$40:$B$43)</f>
        <v>0</v>
      </c>
      <c r="BE56" s="23">
        <f xml:space="preserve"> IF(U56&lt;&gt;"",IF(LEFT(U56,3)="ETT", Calculs!$B$36,0),0)</f>
        <v>0</v>
      </c>
      <c r="BF56" s="23">
        <f xml:space="preserve"> IF(V56&lt;&gt;"",IF(LEFT(V56,1)="S", Calculs!$B$47,0),0)</f>
        <v>0</v>
      </c>
      <c r="BG56" s="23">
        <f xml:space="preserve"> IF(W56&lt;&gt;"",IF(LEFT(W56,1)="S", Calculs!$B$48,0),0)</f>
        <v>0</v>
      </c>
      <c r="BH56" s="29" t="str">
        <f t="shared" si="28"/>
        <v/>
      </c>
      <c r="BI56" s="23">
        <f>SUMIF(Calculs!$A$32:$A$35,BH56,Calculs!$B$32:$B$35)</f>
        <v>0</v>
      </c>
      <c r="BJ56" s="185" t="str">
        <f t="shared" si="21"/>
        <v>N</v>
      </c>
      <c r="BK56" s="23">
        <f t="shared" si="22"/>
        <v>0</v>
      </c>
      <c r="BL56" s="23">
        <f>IF(AND(AR56&lt;&gt;0,BJ56="S"),VLOOKUP(AR56,Calculs!$A$53:$B$58,2,FALSE), 0)</f>
        <v>0</v>
      </c>
      <c r="BM56" s="16">
        <f t="shared" si="23"/>
        <v>0</v>
      </c>
    </row>
    <row r="57" spans="2:65" ht="13.8">
      <c r="B57" s="187"/>
      <c r="H57" s="12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138"/>
      <c r="U57" s="186"/>
      <c r="V57" s="186"/>
      <c r="W57" s="186"/>
      <c r="AA57" s="138"/>
      <c r="AB57" s="138"/>
      <c r="AC57" s="138"/>
      <c r="AD57" s="139"/>
      <c r="AE57" s="140"/>
      <c r="AF57" s="141"/>
      <c r="AG57" s="141"/>
      <c r="AH57" s="141"/>
      <c r="AI57" s="142"/>
      <c r="AJ57" s="142"/>
      <c r="AK57" s="142"/>
      <c r="AL57" s="142"/>
      <c r="AM57" s="197"/>
      <c r="AN57" s="19"/>
      <c r="AO57" s="16" t="str">
        <f t="shared" si="18"/>
        <v/>
      </c>
      <c r="AP57" s="17" t="e">
        <f t="shared" si="19"/>
        <v>#N/A</v>
      </c>
      <c r="AQ57" s="25" t="str">
        <f t="shared" si="24"/>
        <v/>
      </c>
      <c r="AR57" s="32">
        <f t="shared" si="25"/>
        <v>0</v>
      </c>
      <c r="AS57" s="32">
        <f xml:space="preserve"> COUNTIF($B$11:B57,B57)</f>
        <v>0</v>
      </c>
      <c r="AT57" s="32" t="str">
        <f t="shared" si="20"/>
        <v>01N</v>
      </c>
      <c r="AU57" s="22" t="str">
        <f t="shared" si="26"/>
        <v/>
      </c>
      <c r="AV57" s="23">
        <f>SUMIF(Calculs!$A$2:$A$33,AU57,Calculs!$B$2:$B$33)</f>
        <v>0</v>
      </c>
      <c r="AW57" s="23">
        <f xml:space="preserve"> IF(K57&lt;&gt;"",IF(LEFT(K57,1)="S", Calculs!$B$49,0),0)</f>
        <v>0</v>
      </c>
      <c r="AX57" s="23">
        <f xml:space="preserve"> IF(L57&lt;&gt;"",IF(LEFT(L57,1)="S", Calculs!$B$47,0),0)</f>
        <v>0</v>
      </c>
      <c r="AY57" s="23">
        <f xml:space="preserve"> IF(M57&lt;&gt;"",IF(LEFT(M57,1)="S", Calculs!$B$48,0),0)</f>
        <v>0</v>
      </c>
      <c r="AZ57" s="29" t="str">
        <f t="shared" si="27"/>
        <v/>
      </c>
      <c r="BA57" s="29">
        <f>SUMIF(Calculs!$A$2:$A$33,AZ57,Calculs!$B$2:$B$33)</f>
        <v>0</v>
      </c>
      <c r="BB57" s="23">
        <f xml:space="preserve"> IF(Q57&lt;&gt;"",IF(LEFT(Q57,1)="S", Calculs!$B$48,0),0)</f>
        <v>0</v>
      </c>
      <c r="BC57" s="23">
        <f xml:space="preserve"> IF(R57&lt;&gt;"",IF(LEFT(R57,1)="S", Calculs!$B$47,0),0)</f>
        <v>0</v>
      </c>
      <c r="BD57" s="23">
        <f>SUMIF(Calculs!$A$40:$A$43,LEFT(S57,2),Calculs!$B$40:$B$43)</f>
        <v>0</v>
      </c>
      <c r="BE57" s="23">
        <f xml:space="preserve"> IF(U57&lt;&gt;"",IF(LEFT(U57,3)="ETT", Calculs!$B$36,0),0)</f>
        <v>0</v>
      </c>
      <c r="BF57" s="23">
        <f xml:space="preserve"> IF(V57&lt;&gt;"",IF(LEFT(V57,1)="S", Calculs!$B$47,0),0)</f>
        <v>0</v>
      </c>
      <c r="BG57" s="23">
        <f xml:space="preserve"> IF(W57&lt;&gt;"",IF(LEFT(W57,1)="S", Calculs!$B$48,0),0)</f>
        <v>0</v>
      </c>
      <c r="BH57" s="29" t="str">
        <f t="shared" si="28"/>
        <v/>
      </c>
      <c r="BI57" s="23">
        <f>SUMIF(Calculs!$A$32:$A$35,BH57,Calculs!$B$32:$B$35)</f>
        <v>0</v>
      </c>
      <c r="BJ57" s="185" t="str">
        <f t="shared" si="21"/>
        <v>N</v>
      </c>
      <c r="BK57" s="23">
        <f t="shared" si="22"/>
        <v>0</v>
      </c>
      <c r="BL57" s="23">
        <f>IF(AND(AR57&lt;&gt;0,BJ57="S"),VLOOKUP(AR57,Calculs!$A$53:$B$58,2,FALSE), 0)</f>
        <v>0</v>
      </c>
      <c r="BM57" s="16">
        <f t="shared" si="23"/>
        <v>0</v>
      </c>
    </row>
    <row r="58" spans="2:65" ht="13.8">
      <c r="B58" s="187"/>
      <c r="H58" s="12"/>
      <c r="I58" s="34"/>
      <c r="J58" s="34"/>
      <c r="K58" s="34"/>
      <c r="L58" s="34"/>
      <c r="M58" s="34"/>
      <c r="N58" s="34"/>
      <c r="O58" s="34"/>
      <c r="P58" s="34"/>
      <c r="Q58" s="34"/>
      <c r="R58" s="34"/>
      <c r="S58" s="34"/>
      <c r="T58" s="138"/>
      <c r="U58" s="186"/>
      <c r="V58" s="186"/>
      <c r="W58" s="186"/>
      <c r="AA58" s="138"/>
      <c r="AB58" s="138"/>
      <c r="AC58" s="138"/>
      <c r="AD58" s="139"/>
      <c r="AE58" s="140"/>
      <c r="AF58" s="141"/>
      <c r="AG58" s="141"/>
      <c r="AH58" s="141"/>
      <c r="AI58" s="142"/>
      <c r="AJ58" s="142"/>
      <c r="AK58" s="142"/>
      <c r="AL58" s="142"/>
      <c r="AM58" s="197"/>
      <c r="AN58" s="19"/>
      <c r="AO58" s="16" t="str">
        <f t="shared" si="18"/>
        <v/>
      </c>
      <c r="AP58" s="17" t="e">
        <f t="shared" si="19"/>
        <v>#N/A</v>
      </c>
      <c r="AQ58" s="25" t="str">
        <f t="shared" si="24"/>
        <v/>
      </c>
      <c r="AR58" s="32">
        <f t="shared" si="25"/>
        <v>0</v>
      </c>
      <c r="AS58" s="32">
        <f xml:space="preserve"> COUNTIF($B$11:B58,B58)</f>
        <v>0</v>
      </c>
      <c r="AT58" s="32" t="str">
        <f t="shared" si="20"/>
        <v>01N</v>
      </c>
      <c r="AU58" s="22" t="str">
        <f t="shared" si="26"/>
        <v/>
      </c>
      <c r="AV58" s="23">
        <f>SUMIF(Calculs!$A$2:$A$33,AU58,Calculs!$B$2:$B$33)</f>
        <v>0</v>
      </c>
      <c r="AW58" s="23">
        <f xml:space="preserve"> IF(K58&lt;&gt;"",IF(LEFT(K58,1)="S", Calculs!$B$49,0),0)</f>
        <v>0</v>
      </c>
      <c r="AX58" s="23">
        <f xml:space="preserve"> IF(L58&lt;&gt;"",IF(LEFT(L58,1)="S", Calculs!$B$47,0),0)</f>
        <v>0</v>
      </c>
      <c r="AY58" s="23">
        <f xml:space="preserve"> IF(M58&lt;&gt;"",IF(LEFT(M58,1)="S", Calculs!$B$48,0),0)</f>
        <v>0</v>
      </c>
      <c r="AZ58" s="29" t="str">
        <f t="shared" si="27"/>
        <v/>
      </c>
      <c r="BA58" s="29">
        <f>SUMIF(Calculs!$A$2:$A$33,AZ58,Calculs!$B$2:$B$33)</f>
        <v>0</v>
      </c>
      <c r="BB58" s="23">
        <f xml:space="preserve"> IF(Q58&lt;&gt;"",IF(LEFT(Q58,1)="S", Calculs!$B$48,0),0)</f>
        <v>0</v>
      </c>
      <c r="BC58" s="23">
        <f xml:space="preserve"> IF(R58&lt;&gt;"",IF(LEFT(R58,1)="S", Calculs!$B$47,0),0)</f>
        <v>0</v>
      </c>
      <c r="BD58" s="23">
        <f>SUMIF(Calculs!$A$40:$A$43,LEFT(S58,2),Calculs!$B$40:$B$43)</f>
        <v>0</v>
      </c>
      <c r="BE58" s="23">
        <f xml:space="preserve"> IF(U58&lt;&gt;"",IF(LEFT(U58,3)="ETT", Calculs!$B$36,0),0)</f>
        <v>0</v>
      </c>
      <c r="BF58" s="23">
        <f xml:space="preserve"> IF(V58&lt;&gt;"",IF(LEFT(V58,1)="S", Calculs!$B$47,0),0)</f>
        <v>0</v>
      </c>
      <c r="BG58" s="23">
        <f xml:space="preserve"> IF(W58&lt;&gt;"",IF(LEFT(W58,1)="S", Calculs!$B$48,0),0)</f>
        <v>0</v>
      </c>
      <c r="BH58" s="29" t="str">
        <f t="shared" si="28"/>
        <v/>
      </c>
      <c r="BI58" s="23">
        <f>SUMIF(Calculs!$A$32:$A$35,BH58,Calculs!$B$32:$B$35)</f>
        <v>0</v>
      </c>
      <c r="BJ58" s="185" t="str">
        <f t="shared" si="21"/>
        <v>N</v>
      </c>
      <c r="BK58" s="23">
        <f t="shared" si="22"/>
        <v>0</v>
      </c>
      <c r="BL58" s="23">
        <f>IF(AND(AR58&lt;&gt;0,BJ58="S"),VLOOKUP(AR58,Calculs!$A$53:$B$58,2,FALSE), 0)</f>
        <v>0</v>
      </c>
      <c r="BM58" s="16">
        <f t="shared" si="23"/>
        <v>0</v>
      </c>
    </row>
    <row r="59" spans="2:65" ht="13.8">
      <c r="B59" s="187"/>
      <c r="H59" s="12"/>
      <c r="I59" s="34"/>
      <c r="J59" s="34"/>
      <c r="K59" s="34"/>
      <c r="L59" s="34"/>
      <c r="M59" s="34"/>
      <c r="N59" s="34"/>
      <c r="O59" s="34"/>
      <c r="P59" s="34"/>
      <c r="Q59" s="34"/>
      <c r="R59" s="34"/>
      <c r="S59" s="34"/>
      <c r="T59" s="138"/>
      <c r="U59" s="186"/>
      <c r="V59" s="186"/>
      <c r="W59" s="186"/>
      <c r="AA59" s="138"/>
      <c r="AB59" s="138"/>
      <c r="AC59" s="138"/>
      <c r="AD59" s="139"/>
      <c r="AE59" s="140"/>
      <c r="AF59" s="141"/>
      <c r="AG59" s="141"/>
      <c r="AH59" s="141"/>
      <c r="AI59" s="142"/>
      <c r="AJ59" s="142"/>
      <c r="AK59" s="142"/>
      <c r="AL59" s="142"/>
      <c r="AM59" s="197"/>
      <c r="AN59" s="19"/>
      <c r="AO59" s="16" t="str">
        <f t="shared" si="18"/>
        <v/>
      </c>
      <c r="AP59" s="17" t="e">
        <f t="shared" si="19"/>
        <v>#N/A</v>
      </c>
      <c r="AQ59" s="25" t="str">
        <f t="shared" si="24"/>
        <v/>
      </c>
      <c r="AR59" s="32">
        <f t="shared" si="25"/>
        <v>0</v>
      </c>
      <c r="AS59" s="32">
        <f xml:space="preserve"> COUNTIF($B$11:B59,B59)</f>
        <v>0</v>
      </c>
      <c r="AT59" s="32" t="str">
        <f t="shared" si="20"/>
        <v>01N</v>
      </c>
      <c r="AU59" s="22" t="str">
        <f t="shared" si="26"/>
        <v/>
      </c>
      <c r="AV59" s="23">
        <f>SUMIF(Calculs!$A$2:$A$33,AU59,Calculs!$B$2:$B$33)</f>
        <v>0</v>
      </c>
      <c r="AW59" s="23">
        <f xml:space="preserve"> IF(K59&lt;&gt;"",IF(LEFT(K59,1)="S", Calculs!$B$49,0),0)</f>
        <v>0</v>
      </c>
      <c r="AX59" s="23">
        <f xml:space="preserve"> IF(L59&lt;&gt;"",IF(LEFT(L59,1)="S", Calculs!$B$47,0),0)</f>
        <v>0</v>
      </c>
      <c r="AY59" s="23">
        <f xml:space="preserve"> IF(M59&lt;&gt;"",IF(LEFT(M59,1)="S", Calculs!$B$48,0),0)</f>
        <v>0</v>
      </c>
      <c r="AZ59" s="29" t="str">
        <f t="shared" si="27"/>
        <v/>
      </c>
      <c r="BA59" s="29">
        <f>SUMIF(Calculs!$A$2:$A$33,AZ59,Calculs!$B$2:$B$33)</f>
        <v>0</v>
      </c>
      <c r="BB59" s="23">
        <f xml:space="preserve"> IF(Q59&lt;&gt;"",IF(LEFT(Q59,1)="S", Calculs!$B$48,0),0)</f>
        <v>0</v>
      </c>
      <c r="BC59" s="23">
        <f xml:space="preserve"> IF(R59&lt;&gt;"",IF(LEFT(R59,1)="S", Calculs!$B$47,0),0)</f>
        <v>0</v>
      </c>
      <c r="BD59" s="23">
        <f>SUMIF(Calculs!$A$40:$A$43,LEFT(S59,2),Calculs!$B$40:$B$43)</f>
        <v>0</v>
      </c>
      <c r="BE59" s="23">
        <f xml:space="preserve"> IF(U59&lt;&gt;"",IF(LEFT(U59,3)="ETT", Calculs!$B$36,0),0)</f>
        <v>0</v>
      </c>
      <c r="BF59" s="23">
        <f xml:space="preserve"> IF(V59&lt;&gt;"",IF(LEFT(V59,1)="S", Calculs!$B$47,0),0)</f>
        <v>0</v>
      </c>
      <c r="BG59" s="23">
        <f xml:space="preserve"> IF(W59&lt;&gt;"",IF(LEFT(W59,1)="S", Calculs!$B$48,0),0)</f>
        <v>0</v>
      </c>
      <c r="BH59" s="29" t="str">
        <f t="shared" si="28"/>
        <v/>
      </c>
      <c r="BI59" s="23">
        <f>SUMIF(Calculs!$A$32:$A$35,BH59,Calculs!$B$32:$B$35)</f>
        <v>0</v>
      </c>
      <c r="BJ59" s="185" t="str">
        <f t="shared" si="21"/>
        <v>N</v>
      </c>
      <c r="BK59" s="23">
        <f t="shared" si="22"/>
        <v>0</v>
      </c>
      <c r="BL59" s="23">
        <f>IF(AND(AR59&lt;&gt;0,BJ59="S"),VLOOKUP(AR59,Calculs!$A$53:$B$58,2,FALSE), 0)</f>
        <v>0</v>
      </c>
      <c r="BM59" s="16">
        <f t="shared" si="23"/>
        <v>0</v>
      </c>
    </row>
    <row r="60" spans="2:65" ht="13.8">
      <c r="B60" s="187"/>
      <c r="H60" s="12"/>
      <c r="I60" s="34"/>
      <c r="J60" s="34"/>
      <c r="K60" s="34"/>
      <c r="L60" s="34"/>
      <c r="M60" s="34"/>
      <c r="N60" s="34"/>
      <c r="O60" s="34"/>
      <c r="P60" s="34"/>
      <c r="Q60" s="34"/>
      <c r="R60" s="34"/>
      <c r="S60" s="34"/>
      <c r="T60" s="138"/>
      <c r="U60" s="186"/>
      <c r="V60" s="186"/>
      <c r="W60" s="186"/>
      <c r="AA60" s="138"/>
      <c r="AB60" s="138"/>
      <c r="AC60" s="138"/>
      <c r="AD60" s="139"/>
      <c r="AE60" s="140"/>
      <c r="AF60" s="141"/>
      <c r="AG60" s="141"/>
      <c r="AH60" s="141"/>
      <c r="AI60" s="142"/>
      <c r="AJ60" s="142"/>
      <c r="AK60" s="142"/>
      <c r="AL60" s="142"/>
      <c r="AM60" s="197"/>
      <c r="AN60" s="19"/>
      <c r="AO60" s="16" t="str">
        <f t="shared" si="18"/>
        <v/>
      </c>
      <c r="AP60" s="17" t="e">
        <f t="shared" si="19"/>
        <v>#N/A</v>
      </c>
      <c r="AQ60" s="25" t="str">
        <f t="shared" si="24"/>
        <v/>
      </c>
      <c r="AR60" s="32">
        <f t="shared" si="25"/>
        <v>0</v>
      </c>
      <c r="AS60" s="32">
        <f xml:space="preserve"> COUNTIF($B$11:B60,B60)</f>
        <v>0</v>
      </c>
      <c r="AT60" s="32" t="str">
        <f t="shared" si="20"/>
        <v>01N</v>
      </c>
      <c r="AU60" s="22" t="str">
        <f t="shared" si="26"/>
        <v/>
      </c>
      <c r="AV60" s="23">
        <f>SUMIF(Calculs!$A$2:$A$33,AU60,Calculs!$B$2:$B$33)</f>
        <v>0</v>
      </c>
      <c r="AW60" s="23">
        <f xml:space="preserve"> IF(K60&lt;&gt;"",IF(LEFT(K60,1)="S", Calculs!$B$49,0),0)</f>
        <v>0</v>
      </c>
      <c r="AX60" s="23">
        <f xml:space="preserve"> IF(L60&lt;&gt;"",IF(LEFT(L60,1)="S", Calculs!$B$47,0),0)</f>
        <v>0</v>
      </c>
      <c r="AY60" s="23">
        <f xml:space="preserve"> IF(M60&lt;&gt;"",IF(LEFT(M60,1)="S", Calculs!$B$48,0),0)</f>
        <v>0</v>
      </c>
      <c r="AZ60" s="29" t="str">
        <f t="shared" si="27"/>
        <v/>
      </c>
      <c r="BA60" s="29">
        <f>SUMIF(Calculs!$A$2:$A$33,AZ60,Calculs!$B$2:$B$33)</f>
        <v>0</v>
      </c>
      <c r="BB60" s="23">
        <f xml:space="preserve"> IF(Q60&lt;&gt;"",IF(LEFT(Q60,1)="S", Calculs!$B$48,0),0)</f>
        <v>0</v>
      </c>
      <c r="BC60" s="23">
        <f xml:space="preserve"> IF(R60&lt;&gt;"",IF(LEFT(R60,1)="S", Calculs!$B$47,0),0)</f>
        <v>0</v>
      </c>
      <c r="BD60" s="23">
        <f>SUMIF(Calculs!$A$40:$A$43,LEFT(S60,2),Calculs!$B$40:$B$43)</f>
        <v>0</v>
      </c>
      <c r="BE60" s="23">
        <f xml:space="preserve"> IF(U60&lt;&gt;"",IF(LEFT(U60,3)="ETT", Calculs!$B$36,0),0)</f>
        <v>0</v>
      </c>
      <c r="BF60" s="23">
        <f xml:space="preserve"> IF(V60&lt;&gt;"",IF(LEFT(V60,1)="S", Calculs!$B$47,0),0)</f>
        <v>0</v>
      </c>
      <c r="BG60" s="23">
        <f xml:space="preserve"> IF(W60&lt;&gt;"",IF(LEFT(W60,1)="S", Calculs!$B$48,0),0)</f>
        <v>0</v>
      </c>
      <c r="BH60" s="29" t="str">
        <f t="shared" si="28"/>
        <v/>
      </c>
      <c r="BI60" s="23">
        <f>SUMIF(Calculs!$A$32:$A$35,BH60,Calculs!$B$32:$B$35)</f>
        <v>0</v>
      </c>
      <c r="BJ60" s="185" t="str">
        <f t="shared" si="21"/>
        <v>N</v>
      </c>
      <c r="BK60" s="23">
        <f t="shared" si="22"/>
        <v>0</v>
      </c>
      <c r="BL60" s="23">
        <f>IF(AND(AR60&lt;&gt;0,BJ60="S"),VLOOKUP(AR60,Calculs!$A$53:$B$58,2,FALSE), 0)</f>
        <v>0</v>
      </c>
      <c r="BM60" s="16">
        <f t="shared" si="23"/>
        <v>0</v>
      </c>
    </row>
    <row r="61" spans="2:65" ht="13.8">
      <c r="B61" s="187"/>
      <c r="H61" s="12"/>
      <c r="I61" s="34"/>
      <c r="J61" s="34"/>
      <c r="K61" s="34"/>
      <c r="L61" s="34"/>
      <c r="M61" s="34"/>
      <c r="N61" s="34"/>
      <c r="O61" s="34"/>
      <c r="P61" s="34"/>
      <c r="Q61" s="34"/>
      <c r="R61" s="34"/>
      <c r="S61" s="34"/>
      <c r="T61" s="138"/>
      <c r="U61" s="186"/>
      <c r="V61" s="186"/>
      <c r="W61" s="186"/>
      <c r="AA61" s="138"/>
      <c r="AB61" s="138"/>
      <c r="AC61" s="138"/>
      <c r="AD61" s="139"/>
      <c r="AE61" s="140"/>
      <c r="AF61" s="141"/>
      <c r="AG61" s="141"/>
      <c r="AH61" s="141"/>
      <c r="AI61" s="142"/>
      <c r="AJ61" s="142"/>
      <c r="AK61" s="142"/>
      <c r="AL61" s="142"/>
      <c r="AM61" s="197"/>
      <c r="AN61" s="19"/>
      <c r="AO61" s="16" t="str">
        <f t="shared" si="18"/>
        <v/>
      </c>
      <c r="AP61" s="17" t="e">
        <f t="shared" si="19"/>
        <v>#N/A</v>
      </c>
      <c r="AQ61" s="25" t="str">
        <f t="shared" si="24"/>
        <v/>
      </c>
      <c r="AR61" s="32">
        <f t="shared" si="25"/>
        <v>0</v>
      </c>
      <c r="AS61" s="32">
        <f xml:space="preserve"> COUNTIF($B$11:B61,B61)</f>
        <v>0</v>
      </c>
      <c r="AT61" s="32" t="str">
        <f t="shared" si="20"/>
        <v>01N</v>
      </c>
      <c r="AU61" s="22" t="str">
        <f t="shared" si="26"/>
        <v/>
      </c>
      <c r="AV61" s="23">
        <f>SUMIF(Calculs!$A$2:$A$33,AU61,Calculs!$B$2:$B$33)</f>
        <v>0</v>
      </c>
      <c r="AW61" s="23">
        <f xml:space="preserve"> IF(K61&lt;&gt;"",IF(LEFT(K61,1)="S", Calculs!$B$49,0),0)</f>
        <v>0</v>
      </c>
      <c r="AX61" s="23">
        <f xml:space="preserve"> IF(L61&lt;&gt;"",IF(LEFT(L61,1)="S", Calculs!$B$47,0),0)</f>
        <v>0</v>
      </c>
      <c r="AY61" s="23">
        <f xml:space="preserve"> IF(M61&lt;&gt;"",IF(LEFT(M61,1)="S", Calculs!$B$48,0),0)</f>
        <v>0</v>
      </c>
      <c r="AZ61" s="29" t="str">
        <f t="shared" si="27"/>
        <v/>
      </c>
      <c r="BA61" s="29">
        <f>SUMIF(Calculs!$A$2:$A$33,AZ61,Calculs!$B$2:$B$33)</f>
        <v>0</v>
      </c>
      <c r="BB61" s="23">
        <f xml:space="preserve"> IF(Q61&lt;&gt;"",IF(LEFT(Q61,1)="S", Calculs!$B$48,0),0)</f>
        <v>0</v>
      </c>
      <c r="BC61" s="23">
        <f xml:space="preserve"> IF(R61&lt;&gt;"",IF(LEFT(R61,1)="S", Calculs!$B$47,0),0)</f>
        <v>0</v>
      </c>
      <c r="BD61" s="23">
        <f>SUMIF(Calculs!$A$40:$A$43,LEFT(S61,2),Calculs!$B$40:$B$43)</f>
        <v>0</v>
      </c>
      <c r="BE61" s="23">
        <f xml:space="preserve"> IF(U61&lt;&gt;"",IF(LEFT(U61,3)="ETT", Calculs!$B$36,0),0)</f>
        <v>0</v>
      </c>
      <c r="BF61" s="23">
        <f xml:space="preserve"> IF(V61&lt;&gt;"",IF(LEFT(V61,1)="S", Calculs!$B$47,0),0)</f>
        <v>0</v>
      </c>
      <c r="BG61" s="23">
        <f xml:space="preserve"> IF(W61&lt;&gt;"",IF(LEFT(W61,1)="S", Calculs!$B$48,0),0)</f>
        <v>0</v>
      </c>
      <c r="BH61" s="29" t="str">
        <f t="shared" si="28"/>
        <v/>
      </c>
      <c r="BI61" s="23">
        <f>SUMIF(Calculs!$A$32:$A$35,BH61,Calculs!$B$32:$B$35)</f>
        <v>0</v>
      </c>
      <c r="BJ61" s="185" t="str">
        <f t="shared" si="21"/>
        <v>N</v>
      </c>
      <c r="BK61" s="23">
        <f t="shared" si="22"/>
        <v>0</v>
      </c>
      <c r="BL61" s="23">
        <f>IF(AND(AR61&lt;&gt;0,BJ61="S"),VLOOKUP(AR61,Calculs!$A$53:$B$58,2,FALSE), 0)</f>
        <v>0</v>
      </c>
      <c r="BM61" s="16">
        <f t="shared" si="23"/>
        <v>0</v>
      </c>
    </row>
    <row r="62" spans="2:65" ht="13.8">
      <c r="B62" s="187"/>
      <c r="H62" s="12"/>
      <c r="I62" s="34"/>
      <c r="J62" s="34"/>
      <c r="K62" s="34"/>
      <c r="L62" s="34"/>
      <c r="M62" s="34"/>
      <c r="N62" s="34"/>
      <c r="O62" s="34"/>
      <c r="P62" s="34"/>
      <c r="Q62" s="34"/>
      <c r="R62" s="34"/>
      <c r="S62" s="34"/>
      <c r="T62" s="138"/>
      <c r="U62" s="186"/>
      <c r="V62" s="186"/>
      <c r="W62" s="186"/>
      <c r="AA62" s="138"/>
      <c r="AB62" s="138"/>
      <c r="AC62" s="138"/>
      <c r="AD62" s="139"/>
      <c r="AE62" s="140"/>
      <c r="AF62" s="141"/>
      <c r="AG62" s="141"/>
      <c r="AH62" s="141"/>
      <c r="AI62" s="142"/>
      <c r="AJ62" s="142"/>
      <c r="AK62" s="142"/>
      <c r="AL62" s="142"/>
      <c r="AM62" s="197"/>
      <c r="AN62" s="19"/>
      <c r="AO62" s="16" t="str">
        <f t="shared" si="18"/>
        <v/>
      </c>
      <c r="AP62" s="17" t="e">
        <f t="shared" si="19"/>
        <v>#N/A</v>
      </c>
      <c r="AQ62" s="25" t="str">
        <f t="shared" si="24"/>
        <v/>
      </c>
      <c r="AR62" s="32">
        <f t="shared" si="25"/>
        <v>0</v>
      </c>
      <c r="AS62" s="32">
        <f xml:space="preserve"> COUNTIF($B$11:B62,B62)</f>
        <v>0</v>
      </c>
      <c r="AT62" s="32" t="str">
        <f t="shared" si="20"/>
        <v>01N</v>
      </c>
      <c r="AU62" s="22" t="str">
        <f t="shared" si="26"/>
        <v/>
      </c>
      <c r="AV62" s="23">
        <f>SUMIF(Calculs!$A$2:$A$33,AU62,Calculs!$B$2:$B$33)</f>
        <v>0</v>
      </c>
      <c r="AW62" s="23">
        <f xml:space="preserve"> IF(K62&lt;&gt;"",IF(LEFT(K62,1)="S", Calculs!$B$49,0),0)</f>
        <v>0</v>
      </c>
      <c r="AX62" s="23">
        <f xml:space="preserve"> IF(L62&lt;&gt;"",IF(LEFT(L62,1)="S", Calculs!$B$47,0),0)</f>
        <v>0</v>
      </c>
      <c r="AY62" s="23">
        <f xml:space="preserve"> IF(M62&lt;&gt;"",IF(LEFT(M62,1)="S", Calculs!$B$48,0),0)</f>
        <v>0</v>
      </c>
      <c r="AZ62" s="29" t="str">
        <f t="shared" si="27"/>
        <v/>
      </c>
      <c r="BA62" s="29">
        <f>SUMIF(Calculs!$A$2:$A$33,AZ62,Calculs!$B$2:$B$33)</f>
        <v>0</v>
      </c>
      <c r="BB62" s="23">
        <f xml:space="preserve"> IF(Q62&lt;&gt;"",IF(LEFT(Q62,1)="S", Calculs!$B$48,0),0)</f>
        <v>0</v>
      </c>
      <c r="BC62" s="23">
        <f xml:space="preserve"> IF(R62&lt;&gt;"",IF(LEFT(R62,1)="S", Calculs!$B$47,0),0)</f>
        <v>0</v>
      </c>
      <c r="BD62" s="23">
        <f>SUMIF(Calculs!$A$40:$A$43,LEFT(S62,2),Calculs!$B$40:$B$43)</f>
        <v>0</v>
      </c>
      <c r="BE62" s="23">
        <f xml:space="preserve"> IF(U62&lt;&gt;"",IF(LEFT(U62,3)="ETT", Calculs!$B$36,0),0)</f>
        <v>0</v>
      </c>
      <c r="BF62" s="23">
        <f xml:space="preserve"> IF(V62&lt;&gt;"",IF(LEFT(V62,1)="S", Calculs!$B$47,0),0)</f>
        <v>0</v>
      </c>
      <c r="BG62" s="23">
        <f xml:space="preserve"> IF(W62&lt;&gt;"",IF(LEFT(W62,1)="S", Calculs!$B$48,0),0)</f>
        <v>0</v>
      </c>
      <c r="BH62" s="29" t="str">
        <f t="shared" si="28"/>
        <v/>
      </c>
      <c r="BI62" s="23">
        <f>SUMIF(Calculs!$A$32:$A$35,BH62,Calculs!$B$32:$B$35)</f>
        <v>0</v>
      </c>
      <c r="BJ62" s="185" t="str">
        <f t="shared" si="21"/>
        <v>N</v>
      </c>
      <c r="BK62" s="23">
        <f t="shared" si="22"/>
        <v>0</v>
      </c>
      <c r="BL62" s="23">
        <f>IF(AND(AR62&lt;&gt;0,BJ62="S"),VLOOKUP(AR62,Calculs!$A$53:$B$58,2,FALSE), 0)</f>
        <v>0</v>
      </c>
      <c r="BM62" s="16">
        <f t="shared" si="23"/>
        <v>0</v>
      </c>
    </row>
    <row r="63" spans="2:65" ht="13.8">
      <c r="B63" s="187"/>
      <c r="H63" s="12"/>
      <c r="I63" s="34"/>
      <c r="J63" s="34"/>
      <c r="K63" s="34"/>
      <c r="L63" s="34"/>
      <c r="M63" s="34"/>
      <c r="N63" s="34"/>
      <c r="O63" s="34"/>
      <c r="P63" s="34"/>
      <c r="Q63" s="34"/>
      <c r="R63" s="34"/>
      <c r="S63" s="34"/>
      <c r="T63" s="138"/>
      <c r="U63" s="186"/>
      <c r="V63" s="186"/>
      <c r="W63" s="186"/>
      <c r="AA63" s="138"/>
      <c r="AB63" s="138"/>
      <c r="AC63" s="138"/>
      <c r="AD63" s="139"/>
      <c r="AE63" s="140"/>
      <c r="AF63" s="141"/>
      <c r="AG63" s="141"/>
      <c r="AH63" s="141"/>
      <c r="AI63" s="142"/>
      <c r="AJ63" s="142"/>
      <c r="AK63" s="142"/>
      <c r="AL63" s="142"/>
      <c r="AM63" s="197"/>
      <c r="AN63" s="19"/>
      <c r="AO63" s="16" t="str">
        <f t="shared" si="18"/>
        <v/>
      </c>
      <c r="AP63" s="17" t="e">
        <f t="shared" si="19"/>
        <v>#N/A</v>
      </c>
      <c r="AQ63" s="25" t="str">
        <f t="shared" si="24"/>
        <v/>
      </c>
      <c r="AR63" s="32">
        <f t="shared" si="25"/>
        <v>0</v>
      </c>
      <c r="AS63" s="32">
        <f xml:space="preserve"> COUNTIF($B$11:B63,B63)</f>
        <v>0</v>
      </c>
      <c r="AT63" s="32" t="str">
        <f t="shared" si="20"/>
        <v>01N</v>
      </c>
      <c r="AU63" s="22" t="str">
        <f t="shared" si="26"/>
        <v/>
      </c>
      <c r="AV63" s="23">
        <f>SUMIF(Calculs!$A$2:$A$33,AU63,Calculs!$B$2:$B$33)</f>
        <v>0</v>
      </c>
      <c r="AW63" s="23">
        <f xml:space="preserve"> IF(K63&lt;&gt;"",IF(LEFT(K63,1)="S", Calculs!$B$49,0),0)</f>
        <v>0</v>
      </c>
      <c r="AX63" s="23">
        <f xml:space="preserve"> IF(L63&lt;&gt;"",IF(LEFT(L63,1)="S", Calculs!$B$47,0),0)</f>
        <v>0</v>
      </c>
      <c r="AY63" s="23">
        <f xml:space="preserve"> IF(M63&lt;&gt;"",IF(LEFT(M63,1)="S", Calculs!$B$48,0),0)</f>
        <v>0</v>
      </c>
      <c r="AZ63" s="29" t="str">
        <f t="shared" si="27"/>
        <v/>
      </c>
      <c r="BA63" s="29">
        <f>SUMIF(Calculs!$A$2:$A$33,AZ63,Calculs!$B$2:$B$33)</f>
        <v>0</v>
      </c>
      <c r="BB63" s="23">
        <f xml:space="preserve"> IF(Q63&lt;&gt;"",IF(LEFT(Q63,1)="S", Calculs!$B$48,0),0)</f>
        <v>0</v>
      </c>
      <c r="BC63" s="23">
        <f xml:space="preserve"> IF(R63&lt;&gt;"",IF(LEFT(R63,1)="S", Calculs!$B$47,0),0)</f>
        <v>0</v>
      </c>
      <c r="BD63" s="23">
        <f>SUMIF(Calculs!$A$40:$A$43,LEFT(S63,2),Calculs!$B$40:$B$43)</f>
        <v>0</v>
      </c>
      <c r="BE63" s="23">
        <f xml:space="preserve"> IF(U63&lt;&gt;"",IF(LEFT(U63,3)="ETT", Calculs!$B$36,0),0)</f>
        <v>0</v>
      </c>
      <c r="BF63" s="23">
        <f xml:space="preserve"> IF(V63&lt;&gt;"",IF(LEFT(V63,1)="S", Calculs!$B$47,0),0)</f>
        <v>0</v>
      </c>
      <c r="BG63" s="23">
        <f xml:space="preserve"> IF(W63&lt;&gt;"",IF(LEFT(W63,1)="S", Calculs!$B$48,0),0)</f>
        <v>0</v>
      </c>
      <c r="BH63" s="29" t="str">
        <f t="shared" si="28"/>
        <v/>
      </c>
      <c r="BI63" s="23">
        <f>SUMIF(Calculs!$A$32:$A$35,BH63,Calculs!$B$32:$B$35)</f>
        <v>0</v>
      </c>
      <c r="BJ63" s="185" t="str">
        <f t="shared" si="21"/>
        <v>N</v>
      </c>
      <c r="BK63" s="23">
        <f t="shared" si="22"/>
        <v>0</v>
      </c>
      <c r="BL63" s="23">
        <f>IF(AND(AR63&lt;&gt;0,BJ63="S"),VLOOKUP(AR63,Calculs!$A$53:$B$58,2,FALSE), 0)</f>
        <v>0</v>
      </c>
      <c r="BM63" s="16">
        <f t="shared" si="23"/>
        <v>0</v>
      </c>
    </row>
    <row r="64" spans="2:65" ht="13.8">
      <c r="B64" s="187"/>
      <c r="H64" s="12"/>
      <c r="I64" s="34"/>
      <c r="J64" s="34"/>
      <c r="K64" s="34"/>
      <c r="L64" s="34"/>
      <c r="M64" s="34"/>
      <c r="N64" s="34"/>
      <c r="O64" s="34"/>
      <c r="P64" s="34"/>
      <c r="Q64" s="34"/>
      <c r="R64" s="34"/>
      <c r="S64" s="34"/>
      <c r="T64" s="138"/>
      <c r="U64" s="186"/>
      <c r="V64" s="186"/>
      <c r="W64" s="186"/>
      <c r="AA64" s="138"/>
      <c r="AB64" s="138"/>
      <c r="AC64" s="138"/>
      <c r="AD64" s="139"/>
      <c r="AE64" s="140"/>
      <c r="AF64" s="141"/>
      <c r="AG64" s="141"/>
      <c r="AH64" s="141"/>
      <c r="AI64" s="142"/>
      <c r="AJ64" s="142"/>
      <c r="AK64" s="142"/>
      <c r="AL64" s="142"/>
      <c r="AM64" s="197"/>
      <c r="AN64" s="19"/>
      <c r="AO64" s="16" t="str">
        <f t="shared" si="18"/>
        <v/>
      </c>
      <c r="AP64" s="17" t="e">
        <f t="shared" si="19"/>
        <v>#N/A</v>
      </c>
      <c r="AQ64" s="25" t="str">
        <f t="shared" si="24"/>
        <v/>
      </c>
      <c r="AR64" s="32">
        <f t="shared" si="25"/>
        <v>0</v>
      </c>
      <c r="AS64" s="32">
        <f xml:space="preserve"> COUNTIF($B$11:B64,B64)</f>
        <v>0</v>
      </c>
      <c r="AT64" s="32" t="str">
        <f t="shared" si="20"/>
        <v>01N</v>
      </c>
      <c r="AU64" s="22" t="str">
        <f t="shared" si="26"/>
        <v/>
      </c>
      <c r="AV64" s="23">
        <f>SUMIF(Calculs!$A$2:$A$33,AU64,Calculs!$B$2:$B$33)</f>
        <v>0</v>
      </c>
      <c r="AW64" s="23">
        <f xml:space="preserve"> IF(K64&lt;&gt;"",IF(LEFT(K64,1)="S", Calculs!$B$49,0),0)</f>
        <v>0</v>
      </c>
      <c r="AX64" s="23">
        <f xml:space="preserve"> IF(L64&lt;&gt;"",IF(LEFT(L64,1)="S", Calculs!$B$47,0),0)</f>
        <v>0</v>
      </c>
      <c r="AY64" s="23">
        <f xml:space="preserve"> IF(M64&lt;&gt;"",IF(LEFT(M64,1)="S", Calculs!$B$48,0),0)</f>
        <v>0</v>
      </c>
      <c r="AZ64" s="29" t="str">
        <f t="shared" si="27"/>
        <v/>
      </c>
      <c r="BA64" s="29">
        <f>SUMIF(Calculs!$A$2:$A$33,AZ64,Calculs!$B$2:$B$33)</f>
        <v>0</v>
      </c>
      <c r="BB64" s="23">
        <f xml:space="preserve"> IF(Q64&lt;&gt;"",IF(LEFT(Q64,1)="S", Calculs!$B$48,0),0)</f>
        <v>0</v>
      </c>
      <c r="BC64" s="23">
        <f xml:space="preserve"> IF(R64&lt;&gt;"",IF(LEFT(R64,1)="S", Calculs!$B$47,0),0)</f>
        <v>0</v>
      </c>
      <c r="BD64" s="23">
        <f>SUMIF(Calculs!$A$40:$A$43,LEFT(S64,2),Calculs!$B$40:$B$43)</f>
        <v>0</v>
      </c>
      <c r="BE64" s="23">
        <f xml:space="preserve"> IF(U64&lt;&gt;"",IF(LEFT(U64,3)="ETT", Calculs!$B$36,0),0)</f>
        <v>0</v>
      </c>
      <c r="BF64" s="23">
        <f xml:space="preserve"> IF(V64&lt;&gt;"",IF(LEFT(V64,1)="S", Calculs!$B$47,0),0)</f>
        <v>0</v>
      </c>
      <c r="BG64" s="23">
        <f xml:space="preserve"> IF(W64&lt;&gt;"",IF(LEFT(W64,1)="S", Calculs!$B$48,0),0)</f>
        <v>0</v>
      </c>
      <c r="BH64" s="29" t="str">
        <f t="shared" si="28"/>
        <v/>
      </c>
      <c r="BI64" s="23">
        <f>SUMIF(Calculs!$A$32:$A$35,BH64,Calculs!$B$32:$B$35)</f>
        <v>0</v>
      </c>
      <c r="BJ64" s="185" t="str">
        <f t="shared" si="21"/>
        <v>N</v>
      </c>
      <c r="BK64" s="23">
        <f t="shared" si="22"/>
        <v>0</v>
      </c>
      <c r="BL64" s="23">
        <f>IF(AND(AR64&lt;&gt;0,BJ64="S"),VLOOKUP(AR64,Calculs!$A$53:$B$58,2,FALSE), 0)</f>
        <v>0</v>
      </c>
      <c r="BM64" s="16">
        <f t="shared" si="23"/>
        <v>0</v>
      </c>
    </row>
    <row r="65" spans="2:65" ht="13.8">
      <c r="B65" s="187"/>
      <c r="H65" s="12"/>
      <c r="I65" s="34"/>
      <c r="J65" s="34"/>
      <c r="K65" s="34"/>
      <c r="L65" s="34"/>
      <c r="M65" s="34"/>
      <c r="N65" s="34"/>
      <c r="O65" s="34"/>
      <c r="P65" s="34"/>
      <c r="Q65" s="34"/>
      <c r="R65" s="34"/>
      <c r="S65" s="34"/>
      <c r="T65" s="138"/>
      <c r="U65" s="186"/>
      <c r="V65" s="186"/>
      <c r="W65" s="186"/>
      <c r="AA65" s="138"/>
      <c r="AB65" s="138"/>
      <c r="AC65" s="138"/>
      <c r="AD65" s="139"/>
      <c r="AE65" s="140"/>
      <c r="AF65" s="141"/>
      <c r="AG65" s="141"/>
      <c r="AH65" s="141"/>
      <c r="AI65" s="142"/>
      <c r="AJ65" s="142"/>
      <c r="AK65" s="142"/>
      <c r="AL65" s="142"/>
      <c r="AM65" s="197"/>
      <c r="AN65" s="19"/>
      <c r="AO65" s="16" t="str">
        <f t="shared" si="18"/>
        <v/>
      </c>
      <c r="AP65" s="17" t="e">
        <f t="shared" si="19"/>
        <v>#N/A</v>
      </c>
      <c r="AQ65" s="25" t="str">
        <f t="shared" si="24"/>
        <v/>
      </c>
      <c r="AR65" s="32">
        <f t="shared" si="25"/>
        <v>0</v>
      </c>
      <c r="AS65" s="32">
        <f xml:space="preserve"> COUNTIF($B$11:B65,B65)</f>
        <v>0</v>
      </c>
      <c r="AT65" s="32" t="str">
        <f t="shared" si="20"/>
        <v>01N</v>
      </c>
      <c r="AU65" s="22" t="str">
        <f t="shared" si="26"/>
        <v/>
      </c>
      <c r="AV65" s="23">
        <f>SUMIF(Calculs!$A$2:$A$33,AU65,Calculs!$B$2:$B$33)</f>
        <v>0</v>
      </c>
      <c r="AW65" s="23">
        <f xml:space="preserve"> IF(K65&lt;&gt;"",IF(LEFT(K65,1)="S", Calculs!$B$49,0),0)</f>
        <v>0</v>
      </c>
      <c r="AX65" s="23">
        <f xml:space="preserve"> IF(L65&lt;&gt;"",IF(LEFT(L65,1)="S", Calculs!$B$47,0),0)</f>
        <v>0</v>
      </c>
      <c r="AY65" s="23">
        <f xml:space="preserve"> IF(M65&lt;&gt;"",IF(LEFT(M65,1)="S", Calculs!$B$48,0),0)</f>
        <v>0</v>
      </c>
      <c r="AZ65" s="29" t="str">
        <f t="shared" si="27"/>
        <v/>
      </c>
      <c r="BA65" s="29">
        <f>SUMIF(Calculs!$A$2:$A$33,AZ65,Calculs!$B$2:$B$33)</f>
        <v>0</v>
      </c>
      <c r="BB65" s="23">
        <f xml:space="preserve"> IF(Q65&lt;&gt;"",IF(LEFT(Q65,1)="S", Calculs!$B$48,0),0)</f>
        <v>0</v>
      </c>
      <c r="BC65" s="23">
        <f xml:space="preserve"> IF(R65&lt;&gt;"",IF(LEFT(R65,1)="S", Calculs!$B$47,0),0)</f>
        <v>0</v>
      </c>
      <c r="BD65" s="23">
        <f>SUMIF(Calculs!$A$40:$A$43,LEFT(S65,2),Calculs!$B$40:$B$43)</f>
        <v>0</v>
      </c>
      <c r="BE65" s="23">
        <f xml:space="preserve"> IF(U65&lt;&gt;"",IF(LEFT(U65,3)="ETT", Calculs!$B$36,0),0)</f>
        <v>0</v>
      </c>
      <c r="BF65" s="23">
        <f xml:space="preserve"> IF(V65&lt;&gt;"",IF(LEFT(V65,1)="S", Calculs!$B$47,0),0)</f>
        <v>0</v>
      </c>
      <c r="BG65" s="23">
        <f xml:space="preserve"> IF(W65&lt;&gt;"",IF(LEFT(W65,1)="S", Calculs!$B$48,0),0)</f>
        <v>0</v>
      </c>
      <c r="BH65" s="29" t="str">
        <f t="shared" si="28"/>
        <v/>
      </c>
      <c r="BI65" s="23">
        <f>SUMIF(Calculs!$A$32:$A$35,BH65,Calculs!$B$32:$B$35)</f>
        <v>0</v>
      </c>
      <c r="BJ65" s="185" t="str">
        <f t="shared" si="21"/>
        <v>N</v>
      </c>
      <c r="BK65" s="23">
        <f t="shared" si="22"/>
        <v>0</v>
      </c>
      <c r="BL65" s="23">
        <f>IF(AND(AR65&lt;&gt;0,BJ65="S"),VLOOKUP(AR65,Calculs!$A$53:$B$58,2,FALSE), 0)</f>
        <v>0</v>
      </c>
      <c r="BM65" s="16">
        <f t="shared" si="23"/>
        <v>0</v>
      </c>
    </row>
    <row r="66" spans="2:65" ht="13.8">
      <c r="B66" s="187"/>
      <c r="H66" s="12"/>
      <c r="I66" s="34"/>
      <c r="J66" s="34"/>
      <c r="K66" s="34"/>
      <c r="L66" s="34"/>
      <c r="M66" s="34"/>
      <c r="N66" s="34"/>
      <c r="O66" s="34"/>
      <c r="P66" s="34"/>
      <c r="Q66" s="34"/>
      <c r="R66" s="34"/>
      <c r="S66" s="34"/>
      <c r="T66" s="138"/>
      <c r="U66" s="186"/>
      <c r="V66" s="186"/>
      <c r="W66" s="186"/>
      <c r="AA66" s="138"/>
      <c r="AB66" s="138"/>
      <c r="AC66" s="138"/>
      <c r="AD66" s="139"/>
      <c r="AE66" s="140"/>
      <c r="AF66" s="141"/>
      <c r="AG66" s="141"/>
      <c r="AH66" s="141"/>
      <c r="AI66" s="142"/>
      <c r="AJ66" s="142"/>
      <c r="AK66" s="142"/>
      <c r="AL66" s="142"/>
      <c r="AM66" s="197"/>
      <c r="AN66" s="19"/>
      <c r="AO66" s="16" t="str">
        <f t="shared" si="18"/>
        <v/>
      </c>
      <c r="AP66" s="17" t="e">
        <f t="shared" si="19"/>
        <v>#N/A</v>
      </c>
      <c r="AQ66" s="25" t="str">
        <f t="shared" si="24"/>
        <v/>
      </c>
      <c r="AR66" s="32">
        <f t="shared" si="25"/>
        <v>0</v>
      </c>
      <c r="AS66" s="32">
        <f xml:space="preserve"> COUNTIF($B$11:B66,B66)</f>
        <v>0</v>
      </c>
      <c r="AT66" s="32" t="str">
        <f t="shared" si="20"/>
        <v>01N</v>
      </c>
      <c r="AU66" s="22" t="str">
        <f t="shared" si="26"/>
        <v/>
      </c>
      <c r="AV66" s="23">
        <f>SUMIF(Calculs!$A$2:$A$33,AU66,Calculs!$B$2:$B$33)</f>
        <v>0</v>
      </c>
      <c r="AW66" s="23">
        <f xml:space="preserve"> IF(K66&lt;&gt;"",IF(LEFT(K66,1)="S", Calculs!$B$49,0),0)</f>
        <v>0</v>
      </c>
      <c r="AX66" s="23">
        <f xml:space="preserve"> IF(L66&lt;&gt;"",IF(LEFT(L66,1)="S", Calculs!$B$47,0),0)</f>
        <v>0</v>
      </c>
      <c r="AY66" s="23">
        <f xml:space="preserve"> IF(M66&lt;&gt;"",IF(LEFT(M66,1)="S", Calculs!$B$48,0),0)</f>
        <v>0</v>
      </c>
      <c r="AZ66" s="29" t="str">
        <f t="shared" si="27"/>
        <v/>
      </c>
      <c r="BA66" s="29">
        <f>SUMIF(Calculs!$A$2:$A$33,AZ66,Calculs!$B$2:$B$33)</f>
        <v>0</v>
      </c>
      <c r="BB66" s="23">
        <f xml:space="preserve"> IF(Q66&lt;&gt;"",IF(LEFT(Q66,1)="S", Calculs!$B$48,0),0)</f>
        <v>0</v>
      </c>
      <c r="BC66" s="23">
        <f xml:space="preserve"> IF(R66&lt;&gt;"",IF(LEFT(R66,1)="S", Calculs!$B$47,0),0)</f>
        <v>0</v>
      </c>
      <c r="BD66" s="23">
        <f>SUMIF(Calculs!$A$40:$A$43,LEFT(S66,2),Calculs!$B$40:$B$43)</f>
        <v>0</v>
      </c>
      <c r="BE66" s="23">
        <f xml:space="preserve"> IF(U66&lt;&gt;"",IF(LEFT(U66,3)="ETT", Calculs!$B$36,0),0)</f>
        <v>0</v>
      </c>
      <c r="BF66" s="23">
        <f xml:space="preserve"> IF(V66&lt;&gt;"",IF(LEFT(V66,1)="S", Calculs!$B$47,0),0)</f>
        <v>0</v>
      </c>
      <c r="BG66" s="23">
        <f xml:space="preserve"> IF(W66&lt;&gt;"",IF(LEFT(W66,1)="S", Calculs!$B$48,0),0)</f>
        <v>0</v>
      </c>
      <c r="BH66" s="29" t="str">
        <f t="shared" si="28"/>
        <v/>
      </c>
      <c r="BI66" s="23">
        <f>SUMIF(Calculs!$A$32:$A$35,BH66,Calculs!$B$32:$B$35)</f>
        <v>0</v>
      </c>
      <c r="BJ66" s="185" t="str">
        <f t="shared" si="21"/>
        <v>N</v>
      </c>
      <c r="BK66" s="23">
        <f t="shared" si="22"/>
        <v>0</v>
      </c>
      <c r="BL66" s="23">
        <f>IF(AND(AR66&lt;&gt;0,BJ66="S"),VLOOKUP(AR66,Calculs!$A$53:$B$58,2,FALSE), 0)</f>
        <v>0</v>
      </c>
      <c r="BM66" s="16">
        <f t="shared" si="23"/>
        <v>0</v>
      </c>
    </row>
    <row r="67" spans="2:65" ht="13.8">
      <c r="B67" s="187"/>
      <c r="H67" s="12"/>
      <c r="I67" s="34"/>
      <c r="J67" s="34"/>
      <c r="K67" s="34"/>
      <c r="L67" s="34"/>
      <c r="M67" s="34"/>
      <c r="N67" s="34"/>
      <c r="O67" s="34"/>
      <c r="P67" s="34"/>
      <c r="Q67" s="34"/>
      <c r="R67" s="34"/>
      <c r="S67" s="34"/>
      <c r="T67" s="138"/>
      <c r="U67" s="186"/>
      <c r="V67" s="186"/>
      <c r="W67" s="186"/>
      <c r="AA67" s="138"/>
      <c r="AB67" s="138"/>
      <c r="AC67" s="138"/>
      <c r="AD67" s="139"/>
      <c r="AE67" s="140"/>
      <c r="AF67" s="141"/>
      <c r="AG67" s="141"/>
      <c r="AH67" s="141"/>
      <c r="AI67" s="142"/>
      <c r="AJ67" s="142"/>
      <c r="AK67" s="142"/>
      <c r="AL67" s="142"/>
      <c r="AM67" s="197"/>
      <c r="AN67" s="19"/>
      <c r="AO67" s="16" t="str">
        <f t="shared" si="18"/>
        <v/>
      </c>
      <c r="AP67" s="17" t="e">
        <f t="shared" si="19"/>
        <v>#N/A</v>
      </c>
      <c r="AQ67" s="25" t="str">
        <f t="shared" si="24"/>
        <v/>
      </c>
      <c r="AR67" s="32">
        <f t="shared" si="25"/>
        <v>0</v>
      </c>
      <c r="AS67" s="32">
        <f xml:space="preserve"> COUNTIF($B$11:B67,B67)</f>
        <v>0</v>
      </c>
      <c r="AT67" s="32" t="str">
        <f t="shared" si="20"/>
        <v>01N</v>
      </c>
      <c r="AU67" s="22" t="str">
        <f t="shared" si="26"/>
        <v/>
      </c>
      <c r="AV67" s="23">
        <f>SUMIF(Calculs!$A$2:$A$33,AU67,Calculs!$B$2:$B$33)</f>
        <v>0</v>
      </c>
      <c r="AW67" s="23">
        <f xml:space="preserve"> IF(K67&lt;&gt;"",IF(LEFT(K67,1)="S", Calculs!$B$49,0),0)</f>
        <v>0</v>
      </c>
      <c r="AX67" s="23">
        <f xml:space="preserve"> IF(L67&lt;&gt;"",IF(LEFT(L67,1)="S", Calculs!$B$47,0),0)</f>
        <v>0</v>
      </c>
      <c r="AY67" s="23">
        <f xml:space="preserve"> IF(M67&lt;&gt;"",IF(LEFT(M67,1)="S", Calculs!$B$48,0),0)</f>
        <v>0</v>
      </c>
      <c r="AZ67" s="29" t="str">
        <f t="shared" si="27"/>
        <v/>
      </c>
      <c r="BA67" s="29">
        <f>SUMIF(Calculs!$A$2:$A$33,AZ67,Calculs!$B$2:$B$33)</f>
        <v>0</v>
      </c>
      <c r="BB67" s="23">
        <f xml:space="preserve"> IF(Q67&lt;&gt;"",IF(LEFT(Q67,1)="S", Calculs!$B$48,0),0)</f>
        <v>0</v>
      </c>
      <c r="BC67" s="23">
        <f xml:space="preserve"> IF(R67&lt;&gt;"",IF(LEFT(R67,1)="S", Calculs!$B$47,0),0)</f>
        <v>0</v>
      </c>
      <c r="BD67" s="23">
        <f>SUMIF(Calculs!$A$40:$A$43,LEFT(S67,2),Calculs!$B$40:$B$43)</f>
        <v>0</v>
      </c>
      <c r="BE67" s="23">
        <f xml:space="preserve"> IF(U67&lt;&gt;"",IF(LEFT(U67,3)="ETT", Calculs!$B$36,0),0)</f>
        <v>0</v>
      </c>
      <c r="BF67" s="23">
        <f xml:space="preserve"> IF(V67&lt;&gt;"",IF(LEFT(V67,1)="S", Calculs!$B$47,0),0)</f>
        <v>0</v>
      </c>
      <c r="BG67" s="23">
        <f xml:space="preserve"> IF(W67&lt;&gt;"",IF(LEFT(W67,1)="S", Calculs!$B$48,0),0)</f>
        <v>0</v>
      </c>
      <c r="BH67" s="29" t="str">
        <f t="shared" si="28"/>
        <v/>
      </c>
      <c r="BI67" s="23">
        <f>SUMIF(Calculs!$A$32:$A$35,BH67,Calculs!$B$32:$B$35)</f>
        <v>0</v>
      </c>
      <c r="BJ67" s="185" t="str">
        <f t="shared" si="21"/>
        <v>N</v>
      </c>
      <c r="BK67" s="23">
        <f t="shared" si="22"/>
        <v>0</v>
      </c>
      <c r="BL67" s="23">
        <f>IF(AND(AR67&lt;&gt;0,BJ67="S"),VLOOKUP(AR67,Calculs!$A$53:$B$58,2,FALSE), 0)</f>
        <v>0</v>
      </c>
      <c r="BM67" s="16">
        <f t="shared" si="23"/>
        <v>0</v>
      </c>
    </row>
    <row r="68" spans="2:65" ht="13.8">
      <c r="B68" s="187"/>
      <c r="H68" s="12"/>
      <c r="I68" s="34"/>
      <c r="J68" s="34"/>
      <c r="K68" s="34"/>
      <c r="L68" s="34"/>
      <c r="M68" s="34"/>
      <c r="N68" s="34"/>
      <c r="O68" s="34"/>
      <c r="P68" s="34"/>
      <c r="Q68" s="34"/>
      <c r="R68" s="34"/>
      <c r="S68" s="34"/>
      <c r="T68" s="138"/>
      <c r="U68" s="186"/>
      <c r="V68" s="186"/>
      <c r="W68" s="186"/>
      <c r="AA68" s="138"/>
      <c r="AB68" s="138"/>
      <c r="AC68" s="138"/>
      <c r="AD68" s="139"/>
      <c r="AE68" s="140"/>
      <c r="AF68" s="141"/>
      <c r="AG68" s="141"/>
      <c r="AH68" s="141"/>
      <c r="AI68" s="142"/>
      <c r="AJ68" s="142"/>
      <c r="AK68" s="142"/>
      <c r="AL68" s="142"/>
      <c r="AM68" s="197"/>
      <c r="AN68" s="19"/>
      <c r="AO68" s="16" t="str">
        <f t="shared" si="18"/>
        <v/>
      </c>
      <c r="AP68" s="17" t="e">
        <f t="shared" si="19"/>
        <v>#N/A</v>
      </c>
      <c r="AQ68" s="25" t="str">
        <f t="shared" si="24"/>
        <v/>
      </c>
      <c r="AR68" s="32">
        <f t="shared" si="25"/>
        <v>0</v>
      </c>
      <c r="AS68" s="32">
        <f xml:space="preserve"> COUNTIF($B$11:B68,B68)</f>
        <v>0</v>
      </c>
      <c r="AT68" s="32" t="str">
        <f t="shared" si="20"/>
        <v>01N</v>
      </c>
      <c r="AU68" s="22" t="str">
        <f t="shared" si="26"/>
        <v/>
      </c>
      <c r="AV68" s="23">
        <f>SUMIF(Calculs!$A$2:$A$33,AU68,Calculs!$B$2:$B$33)</f>
        <v>0</v>
      </c>
      <c r="AW68" s="23">
        <f xml:space="preserve"> IF(K68&lt;&gt;"",IF(LEFT(K68,1)="S", Calculs!$B$49,0),0)</f>
        <v>0</v>
      </c>
      <c r="AX68" s="23">
        <f xml:space="preserve"> IF(L68&lt;&gt;"",IF(LEFT(L68,1)="S", Calculs!$B$47,0),0)</f>
        <v>0</v>
      </c>
      <c r="AY68" s="23">
        <f xml:space="preserve"> IF(M68&lt;&gt;"",IF(LEFT(M68,1)="S", Calculs!$B$48,0),0)</f>
        <v>0</v>
      </c>
      <c r="AZ68" s="29" t="str">
        <f t="shared" si="27"/>
        <v/>
      </c>
      <c r="BA68" s="29">
        <f>SUMIF(Calculs!$A$2:$A$33,AZ68,Calculs!$B$2:$B$33)</f>
        <v>0</v>
      </c>
      <c r="BB68" s="23">
        <f xml:space="preserve"> IF(Q68&lt;&gt;"",IF(LEFT(Q68,1)="S", Calculs!$B$48,0),0)</f>
        <v>0</v>
      </c>
      <c r="BC68" s="23">
        <f xml:space="preserve"> IF(R68&lt;&gt;"",IF(LEFT(R68,1)="S", Calculs!$B$47,0),0)</f>
        <v>0</v>
      </c>
      <c r="BD68" s="23">
        <f>SUMIF(Calculs!$A$40:$A$43,LEFT(S68,2),Calculs!$B$40:$B$43)</f>
        <v>0</v>
      </c>
      <c r="BE68" s="23">
        <f xml:space="preserve"> IF(U68&lt;&gt;"",IF(LEFT(U68,3)="ETT", Calculs!$B$36,0),0)</f>
        <v>0</v>
      </c>
      <c r="BF68" s="23">
        <f xml:space="preserve"> IF(V68&lt;&gt;"",IF(LEFT(V68,1)="S", Calculs!$B$47,0),0)</f>
        <v>0</v>
      </c>
      <c r="BG68" s="23">
        <f xml:space="preserve"> IF(W68&lt;&gt;"",IF(LEFT(W68,1)="S", Calculs!$B$48,0),0)</f>
        <v>0</v>
      </c>
      <c r="BH68" s="29" t="str">
        <f t="shared" si="28"/>
        <v/>
      </c>
      <c r="BI68" s="23">
        <f>SUMIF(Calculs!$A$32:$A$35,BH68,Calculs!$B$32:$B$35)</f>
        <v>0</v>
      </c>
      <c r="BJ68" s="185" t="str">
        <f t="shared" si="21"/>
        <v>N</v>
      </c>
      <c r="BK68" s="23">
        <f t="shared" si="22"/>
        <v>0</v>
      </c>
      <c r="BL68" s="23">
        <f>IF(AND(AR68&lt;&gt;0,BJ68="S"),VLOOKUP(AR68,Calculs!$A$53:$B$58,2,FALSE), 0)</f>
        <v>0</v>
      </c>
      <c r="BM68" s="16">
        <f t="shared" si="23"/>
        <v>0</v>
      </c>
    </row>
    <row r="69" spans="2:65" ht="13.8">
      <c r="B69" s="187"/>
      <c r="H69" s="12"/>
      <c r="I69" s="34"/>
      <c r="J69" s="34"/>
      <c r="K69" s="34"/>
      <c r="L69" s="34"/>
      <c r="M69" s="34"/>
      <c r="N69" s="34"/>
      <c r="O69" s="34"/>
      <c r="P69" s="34"/>
      <c r="Q69" s="34"/>
      <c r="R69" s="34"/>
      <c r="S69" s="34"/>
      <c r="T69" s="138"/>
      <c r="U69" s="186"/>
      <c r="V69" s="186"/>
      <c r="W69" s="186"/>
      <c r="AA69" s="138"/>
      <c r="AB69" s="138"/>
      <c r="AC69" s="138"/>
      <c r="AD69" s="139"/>
      <c r="AE69" s="140"/>
      <c r="AF69" s="141"/>
      <c r="AG69" s="141"/>
      <c r="AH69" s="141"/>
      <c r="AI69" s="142"/>
      <c r="AJ69" s="142"/>
      <c r="AK69" s="142"/>
      <c r="AL69" s="142"/>
      <c r="AM69" s="197"/>
      <c r="AN69" s="19"/>
      <c r="AO69" s="16" t="str">
        <f t="shared" si="18"/>
        <v/>
      </c>
      <c r="AP69" s="17" t="e">
        <f t="shared" si="19"/>
        <v>#N/A</v>
      </c>
      <c r="AQ69" s="25" t="str">
        <f t="shared" si="24"/>
        <v/>
      </c>
      <c r="AR69" s="32">
        <f t="shared" si="25"/>
        <v>0</v>
      </c>
      <c r="AS69" s="32">
        <f xml:space="preserve"> COUNTIF($B$11:B69,B69)</f>
        <v>0</v>
      </c>
      <c r="AT69" s="32" t="str">
        <f t="shared" si="20"/>
        <v>01N</v>
      </c>
      <c r="AU69" s="22" t="str">
        <f t="shared" si="26"/>
        <v/>
      </c>
      <c r="AV69" s="23">
        <f>SUMIF(Calculs!$A$2:$A$33,AU69,Calculs!$B$2:$B$33)</f>
        <v>0</v>
      </c>
      <c r="AW69" s="23">
        <f xml:space="preserve"> IF(K69&lt;&gt;"",IF(LEFT(K69,1)="S", Calculs!$B$49,0),0)</f>
        <v>0</v>
      </c>
      <c r="AX69" s="23">
        <f xml:space="preserve"> IF(L69&lt;&gt;"",IF(LEFT(L69,1)="S", Calculs!$B$47,0),0)</f>
        <v>0</v>
      </c>
      <c r="AY69" s="23">
        <f xml:space="preserve"> IF(M69&lt;&gt;"",IF(LEFT(M69,1)="S", Calculs!$B$48,0),0)</f>
        <v>0</v>
      </c>
      <c r="AZ69" s="29" t="str">
        <f t="shared" si="27"/>
        <v/>
      </c>
      <c r="BA69" s="29">
        <f>SUMIF(Calculs!$A$2:$A$33,AZ69,Calculs!$B$2:$B$33)</f>
        <v>0</v>
      </c>
      <c r="BB69" s="23">
        <f xml:space="preserve"> IF(Q69&lt;&gt;"",IF(LEFT(Q69,1)="S", Calculs!$B$48,0),0)</f>
        <v>0</v>
      </c>
      <c r="BC69" s="23">
        <f xml:space="preserve"> IF(R69&lt;&gt;"",IF(LEFT(R69,1)="S", Calculs!$B$47,0),0)</f>
        <v>0</v>
      </c>
      <c r="BD69" s="23">
        <f>SUMIF(Calculs!$A$40:$A$43,LEFT(S69,2),Calculs!$B$40:$B$43)</f>
        <v>0</v>
      </c>
      <c r="BE69" s="23">
        <f xml:space="preserve"> IF(U69&lt;&gt;"",IF(LEFT(U69,3)="ETT", Calculs!$B$36,0),0)</f>
        <v>0</v>
      </c>
      <c r="BF69" s="23">
        <f xml:space="preserve"> IF(V69&lt;&gt;"",IF(LEFT(V69,1)="S", Calculs!$B$47,0),0)</f>
        <v>0</v>
      </c>
      <c r="BG69" s="23">
        <f xml:space="preserve"> IF(W69&lt;&gt;"",IF(LEFT(W69,1)="S", Calculs!$B$48,0),0)</f>
        <v>0</v>
      </c>
      <c r="BH69" s="29" t="str">
        <f t="shared" si="28"/>
        <v/>
      </c>
      <c r="BI69" s="23">
        <f>SUMIF(Calculs!$A$32:$A$35,BH69,Calculs!$B$32:$B$35)</f>
        <v>0</v>
      </c>
      <c r="BJ69" s="185" t="str">
        <f t="shared" si="21"/>
        <v>N</v>
      </c>
      <c r="BK69" s="23">
        <f t="shared" si="22"/>
        <v>0</v>
      </c>
      <c r="BL69" s="23">
        <f>IF(AND(AR69&lt;&gt;0,BJ69="S"),VLOOKUP(AR69,Calculs!$A$53:$B$58,2,FALSE), 0)</f>
        <v>0</v>
      </c>
      <c r="BM69" s="16">
        <f t="shared" si="23"/>
        <v>0</v>
      </c>
    </row>
    <row r="70" spans="2:65" ht="13.8">
      <c r="B70" s="187"/>
      <c r="H70" s="12"/>
      <c r="I70" s="34"/>
      <c r="J70" s="34"/>
      <c r="K70" s="34"/>
      <c r="L70" s="34"/>
      <c r="M70" s="34"/>
      <c r="N70" s="34"/>
      <c r="O70" s="34"/>
      <c r="P70" s="34"/>
      <c r="Q70" s="34"/>
      <c r="R70" s="34"/>
      <c r="S70" s="34"/>
      <c r="T70" s="138"/>
      <c r="U70" s="186"/>
      <c r="V70" s="186"/>
      <c r="W70" s="186"/>
      <c r="AA70" s="138"/>
      <c r="AB70" s="138"/>
      <c r="AC70" s="138"/>
      <c r="AD70" s="139"/>
      <c r="AE70" s="140"/>
      <c r="AF70" s="141"/>
      <c r="AG70" s="141"/>
      <c r="AH70" s="141"/>
      <c r="AI70" s="142"/>
      <c r="AJ70" s="142"/>
      <c r="AK70" s="142"/>
      <c r="AL70" s="142"/>
      <c r="AM70" s="197"/>
      <c r="AN70" s="19"/>
      <c r="AO70" s="16" t="str">
        <f t="shared" si="18"/>
        <v/>
      </c>
      <c r="AP70" s="17" t="e">
        <f t="shared" si="19"/>
        <v>#N/A</v>
      </c>
      <c r="AQ70" s="25" t="str">
        <f t="shared" si="24"/>
        <v/>
      </c>
      <c r="AR70" s="32">
        <f t="shared" si="25"/>
        <v>0</v>
      </c>
      <c r="AS70" s="32">
        <f xml:space="preserve"> COUNTIF($B$11:B70,B70)</f>
        <v>0</v>
      </c>
      <c r="AT70" s="32" t="str">
        <f t="shared" si="20"/>
        <v>01N</v>
      </c>
      <c r="AU70" s="22" t="str">
        <f t="shared" si="26"/>
        <v/>
      </c>
      <c r="AV70" s="23">
        <f>SUMIF(Calculs!$A$2:$A$33,AU70,Calculs!$B$2:$B$33)</f>
        <v>0</v>
      </c>
      <c r="AW70" s="23">
        <f xml:space="preserve"> IF(K70&lt;&gt;"",IF(LEFT(K70,1)="S", Calculs!$B$49,0),0)</f>
        <v>0</v>
      </c>
      <c r="AX70" s="23">
        <f xml:space="preserve"> IF(L70&lt;&gt;"",IF(LEFT(L70,1)="S", Calculs!$B$47,0),0)</f>
        <v>0</v>
      </c>
      <c r="AY70" s="23">
        <f xml:space="preserve"> IF(M70&lt;&gt;"",IF(LEFT(M70,1)="S", Calculs!$B$48,0),0)</f>
        <v>0</v>
      </c>
      <c r="AZ70" s="29" t="str">
        <f t="shared" si="27"/>
        <v/>
      </c>
      <c r="BA70" s="29">
        <f>SUMIF(Calculs!$A$2:$A$33,AZ70,Calculs!$B$2:$B$33)</f>
        <v>0</v>
      </c>
      <c r="BB70" s="23">
        <f xml:space="preserve"> IF(Q70&lt;&gt;"",IF(LEFT(Q70,1)="S", Calculs!$B$48,0),0)</f>
        <v>0</v>
      </c>
      <c r="BC70" s="23">
        <f xml:space="preserve"> IF(R70&lt;&gt;"",IF(LEFT(R70,1)="S", Calculs!$B$47,0),0)</f>
        <v>0</v>
      </c>
      <c r="BD70" s="23">
        <f>SUMIF(Calculs!$A$40:$A$43,LEFT(S70,2),Calculs!$B$40:$B$43)</f>
        <v>0</v>
      </c>
      <c r="BE70" s="23">
        <f xml:space="preserve"> IF(U70&lt;&gt;"",IF(LEFT(U70,3)="ETT", Calculs!$B$36,0),0)</f>
        <v>0</v>
      </c>
      <c r="BF70" s="23">
        <f xml:space="preserve"> IF(V70&lt;&gt;"",IF(LEFT(V70,1)="S", Calculs!$B$47,0),0)</f>
        <v>0</v>
      </c>
      <c r="BG70" s="23">
        <f xml:space="preserve"> IF(W70&lt;&gt;"",IF(LEFT(W70,1)="S", Calculs!$B$48,0),0)</f>
        <v>0</v>
      </c>
      <c r="BH70" s="29" t="str">
        <f t="shared" si="28"/>
        <v/>
      </c>
      <c r="BI70" s="23">
        <f>SUMIF(Calculs!$A$32:$A$35,BH70,Calculs!$B$32:$B$35)</f>
        <v>0</v>
      </c>
      <c r="BJ70" s="185" t="str">
        <f t="shared" si="21"/>
        <v>N</v>
      </c>
      <c r="BK70" s="23">
        <f t="shared" si="22"/>
        <v>0</v>
      </c>
      <c r="BL70" s="23">
        <f>IF(AND(AR70&lt;&gt;0,BJ70="S"),VLOOKUP(AR70,Calculs!$A$53:$B$58,2,FALSE), 0)</f>
        <v>0</v>
      </c>
      <c r="BM70" s="16">
        <f t="shared" si="23"/>
        <v>0</v>
      </c>
    </row>
    <row r="71" spans="2:65" ht="13.8">
      <c r="B71" s="187"/>
      <c r="H71" s="12"/>
      <c r="I71" s="34"/>
      <c r="J71" s="34"/>
      <c r="K71" s="34"/>
      <c r="L71" s="34"/>
      <c r="M71" s="34"/>
      <c r="N71" s="34"/>
      <c r="O71" s="34"/>
      <c r="P71" s="34"/>
      <c r="Q71" s="34"/>
      <c r="R71" s="34"/>
      <c r="S71" s="34"/>
      <c r="T71" s="138"/>
      <c r="U71" s="186"/>
      <c r="V71" s="186"/>
      <c r="W71" s="186"/>
      <c r="AA71" s="138"/>
      <c r="AB71" s="138"/>
      <c r="AC71" s="138"/>
      <c r="AD71" s="139"/>
      <c r="AE71" s="140"/>
      <c r="AF71" s="141"/>
      <c r="AG71" s="141"/>
      <c r="AH71" s="141"/>
      <c r="AI71" s="142"/>
      <c r="AJ71" s="142"/>
      <c r="AK71" s="142"/>
      <c r="AL71" s="142"/>
      <c r="AM71" s="197"/>
      <c r="AN71" s="19"/>
      <c r="AO71" s="16" t="str">
        <f t="shared" si="18"/>
        <v/>
      </c>
      <c r="AP71" s="17" t="e">
        <f t="shared" si="19"/>
        <v>#N/A</v>
      </c>
      <c r="AQ71" s="25" t="str">
        <f t="shared" si="24"/>
        <v/>
      </c>
      <c r="AR71" s="32">
        <f t="shared" si="25"/>
        <v>0</v>
      </c>
      <c r="AS71" s="32">
        <f xml:space="preserve"> COUNTIF($B$11:B71,B71)</f>
        <v>0</v>
      </c>
      <c r="AT71" s="32" t="str">
        <f t="shared" si="20"/>
        <v>01N</v>
      </c>
      <c r="AU71" s="22" t="str">
        <f t="shared" si="26"/>
        <v/>
      </c>
      <c r="AV71" s="23">
        <f>SUMIF(Calculs!$A$2:$A$33,AU71,Calculs!$B$2:$B$33)</f>
        <v>0</v>
      </c>
      <c r="AW71" s="23">
        <f xml:space="preserve"> IF(K71&lt;&gt;"",IF(LEFT(K71,1)="S", Calculs!$B$49,0),0)</f>
        <v>0</v>
      </c>
      <c r="AX71" s="23">
        <f xml:space="preserve"> IF(L71&lt;&gt;"",IF(LEFT(L71,1)="S", Calculs!$B$47,0),0)</f>
        <v>0</v>
      </c>
      <c r="AY71" s="23">
        <f xml:space="preserve"> IF(M71&lt;&gt;"",IF(LEFT(M71,1)="S", Calculs!$B$48,0),0)</f>
        <v>0</v>
      </c>
      <c r="AZ71" s="29" t="str">
        <f t="shared" si="27"/>
        <v/>
      </c>
      <c r="BA71" s="29">
        <f>SUMIF(Calculs!$A$2:$A$33,AZ71,Calculs!$B$2:$B$33)</f>
        <v>0</v>
      </c>
      <c r="BB71" s="23">
        <f xml:space="preserve"> IF(Q71&lt;&gt;"",IF(LEFT(Q71,1)="S", Calculs!$B$48,0),0)</f>
        <v>0</v>
      </c>
      <c r="BC71" s="23">
        <f xml:space="preserve"> IF(R71&lt;&gt;"",IF(LEFT(R71,1)="S", Calculs!$B$47,0),0)</f>
        <v>0</v>
      </c>
      <c r="BD71" s="23">
        <f>SUMIF(Calculs!$A$40:$A$43,LEFT(S71,2),Calculs!$B$40:$B$43)</f>
        <v>0</v>
      </c>
      <c r="BE71" s="23">
        <f xml:space="preserve"> IF(U71&lt;&gt;"",IF(LEFT(U71,3)="ETT", Calculs!$B$36,0),0)</f>
        <v>0</v>
      </c>
      <c r="BF71" s="23">
        <f xml:space="preserve"> IF(V71&lt;&gt;"",IF(LEFT(V71,1)="S", Calculs!$B$47,0),0)</f>
        <v>0</v>
      </c>
      <c r="BG71" s="23">
        <f xml:space="preserve"> IF(W71&lt;&gt;"",IF(LEFT(W71,1)="S", Calculs!$B$48,0),0)</f>
        <v>0</v>
      </c>
      <c r="BH71" s="29" t="str">
        <f t="shared" si="28"/>
        <v/>
      </c>
      <c r="BI71" s="23">
        <f>SUMIF(Calculs!$A$32:$A$35,BH71,Calculs!$B$32:$B$35)</f>
        <v>0</v>
      </c>
      <c r="BJ71" s="185" t="str">
        <f t="shared" si="21"/>
        <v>N</v>
      </c>
      <c r="BK71" s="23">
        <f t="shared" si="22"/>
        <v>0</v>
      </c>
      <c r="BL71" s="23">
        <f>IF(AND(AR71&lt;&gt;0,BJ71="S"),VLOOKUP(AR71,Calculs!$A$53:$B$58,2,FALSE), 0)</f>
        <v>0</v>
      </c>
      <c r="BM71" s="16">
        <f t="shared" si="23"/>
        <v>0</v>
      </c>
    </row>
    <row r="72" spans="2:65" ht="13.8">
      <c r="B72" s="187"/>
      <c r="H72" s="12"/>
      <c r="I72" s="34"/>
      <c r="J72" s="34"/>
      <c r="K72" s="34"/>
      <c r="L72" s="34"/>
      <c r="M72" s="34"/>
      <c r="N72" s="34"/>
      <c r="O72" s="34"/>
      <c r="P72" s="34"/>
      <c r="Q72" s="34"/>
      <c r="R72" s="34"/>
      <c r="S72" s="34"/>
      <c r="T72" s="138"/>
      <c r="U72" s="186"/>
      <c r="V72" s="186"/>
      <c r="W72" s="186"/>
      <c r="AA72" s="138"/>
      <c r="AB72" s="138"/>
      <c r="AC72" s="138"/>
      <c r="AD72" s="139"/>
      <c r="AE72" s="140"/>
      <c r="AF72" s="141"/>
      <c r="AG72" s="141"/>
      <c r="AH72" s="141"/>
      <c r="AI72" s="142"/>
      <c r="AJ72" s="142"/>
      <c r="AK72" s="142"/>
      <c r="AL72" s="142"/>
      <c r="AM72" s="197"/>
      <c r="AN72" s="19"/>
      <c r="AO72" s="16" t="str">
        <f t="shared" si="18"/>
        <v/>
      </c>
      <c r="AP72" s="17" t="e">
        <f t="shared" si="19"/>
        <v>#N/A</v>
      </c>
      <c r="AQ72" s="25" t="str">
        <f t="shared" si="24"/>
        <v/>
      </c>
      <c r="AR72" s="32">
        <f t="shared" si="25"/>
        <v>0</v>
      </c>
      <c r="AS72" s="32">
        <f xml:space="preserve"> COUNTIF($B$11:B72,B72)</f>
        <v>0</v>
      </c>
      <c r="AT72" s="32" t="str">
        <f t="shared" si="20"/>
        <v>01N</v>
      </c>
      <c r="AU72" s="22" t="str">
        <f t="shared" si="26"/>
        <v/>
      </c>
      <c r="AV72" s="23">
        <f>SUMIF(Calculs!$A$2:$A$33,AU72,Calculs!$B$2:$B$33)</f>
        <v>0</v>
      </c>
      <c r="AW72" s="23">
        <f xml:space="preserve"> IF(K72&lt;&gt;"",IF(LEFT(K72,1)="S", Calculs!$B$49,0),0)</f>
        <v>0</v>
      </c>
      <c r="AX72" s="23">
        <f xml:space="preserve"> IF(L72&lt;&gt;"",IF(LEFT(L72,1)="S", Calculs!$B$47,0),0)</f>
        <v>0</v>
      </c>
      <c r="AY72" s="23">
        <f xml:space="preserve"> IF(M72&lt;&gt;"",IF(LEFT(M72,1)="S", Calculs!$B$48,0),0)</f>
        <v>0</v>
      </c>
      <c r="AZ72" s="29" t="str">
        <f t="shared" si="27"/>
        <v/>
      </c>
      <c r="BA72" s="29">
        <f>SUMIF(Calculs!$A$2:$A$33,AZ72,Calculs!$B$2:$B$33)</f>
        <v>0</v>
      </c>
      <c r="BB72" s="23">
        <f xml:space="preserve"> IF(Q72&lt;&gt;"",IF(LEFT(Q72,1)="S", Calculs!$B$48,0),0)</f>
        <v>0</v>
      </c>
      <c r="BC72" s="23">
        <f xml:space="preserve"> IF(R72&lt;&gt;"",IF(LEFT(R72,1)="S", Calculs!$B$47,0),0)</f>
        <v>0</v>
      </c>
      <c r="BD72" s="23">
        <f>SUMIF(Calculs!$A$40:$A$43,LEFT(S72,2),Calculs!$B$40:$B$43)</f>
        <v>0</v>
      </c>
      <c r="BE72" s="23">
        <f xml:space="preserve"> IF(U72&lt;&gt;"",IF(LEFT(U72,3)="ETT", Calculs!$B$36,0),0)</f>
        <v>0</v>
      </c>
      <c r="BF72" s="23">
        <f xml:space="preserve"> IF(V72&lt;&gt;"",IF(LEFT(V72,1)="S", Calculs!$B$47,0),0)</f>
        <v>0</v>
      </c>
      <c r="BG72" s="23">
        <f xml:space="preserve"> IF(W72&lt;&gt;"",IF(LEFT(W72,1)="S", Calculs!$B$48,0),0)</f>
        <v>0</v>
      </c>
      <c r="BH72" s="29" t="str">
        <f t="shared" si="28"/>
        <v/>
      </c>
      <c r="BI72" s="23">
        <f>SUMIF(Calculs!$A$32:$A$35,BH72,Calculs!$B$32:$B$35)</f>
        <v>0</v>
      </c>
      <c r="BJ72" s="185" t="str">
        <f t="shared" si="21"/>
        <v>N</v>
      </c>
      <c r="BK72" s="23">
        <f t="shared" si="22"/>
        <v>0</v>
      </c>
      <c r="BL72" s="23">
        <f>IF(AND(AR72&lt;&gt;0,BJ72="S"),VLOOKUP(AR72,Calculs!$A$53:$B$58,2,FALSE), 0)</f>
        <v>0</v>
      </c>
      <c r="BM72" s="16">
        <f t="shared" si="23"/>
        <v>0</v>
      </c>
    </row>
    <row r="73" spans="2:65" ht="13.8">
      <c r="B73" s="187"/>
      <c r="H73" s="12"/>
      <c r="I73" s="34"/>
      <c r="J73" s="34"/>
      <c r="K73" s="34"/>
      <c r="L73" s="34"/>
      <c r="M73" s="34"/>
      <c r="N73" s="34"/>
      <c r="O73" s="34"/>
      <c r="P73" s="34"/>
      <c r="Q73" s="34"/>
      <c r="R73" s="34"/>
      <c r="S73" s="34"/>
      <c r="T73" s="138"/>
      <c r="U73" s="186"/>
      <c r="V73" s="186"/>
      <c r="W73" s="186"/>
      <c r="AA73" s="138"/>
      <c r="AB73" s="138"/>
      <c r="AC73" s="138"/>
      <c r="AD73" s="139"/>
      <c r="AE73" s="140"/>
      <c r="AF73" s="141"/>
      <c r="AG73" s="141"/>
      <c r="AH73" s="141"/>
      <c r="AI73" s="142"/>
      <c r="AJ73" s="142"/>
      <c r="AK73" s="142"/>
      <c r="AL73" s="142"/>
      <c r="AM73" s="197"/>
      <c r="AN73" s="19"/>
      <c r="AO73" s="16" t="str">
        <f t="shared" si="18"/>
        <v/>
      </c>
      <c r="AP73" s="17" t="e">
        <f t="shared" si="19"/>
        <v>#N/A</v>
      </c>
      <c r="AQ73" s="25" t="str">
        <f t="shared" si="24"/>
        <v/>
      </c>
      <c r="AR73" s="32">
        <f t="shared" si="25"/>
        <v>0</v>
      </c>
      <c r="AS73" s="32">
        <f xml:space="preserve"> COUNTIF($B$11:B73,B73)</f>
        <v>0</v>
      </c>
      <c r="AT73" s="32" t="str">
        <f t="shared" si="20"/>
        <v>01N</v>
      </c>
      <c r="AU73" s="22" t="str">
        <f t="shared" si="26"/>
        <v/>
      </c>
      <c r="AV73" s="23">
        <f>SUMIF(Calculs!$A$2:$A$33,AU73,Calculs!$B$2:$B$33)</f>
        <v>0</v>
      </c>
      <c r="AW73" s="23">
        <f xml:space="preserve"> IF(K73&lt;&gt;"",IF(LEFT(K73,1)="S", Calculs!$B$49,0),0)</f>
        <v>0</v>
      </c>
      <c r="AX73" s="23">
        <f xml:space="preserve"> IF(L73&lt;&gt;"",IF(LEFT(L73,1)="S", Calculs!$B$47,0),0)</f>
        <v>0</v>
      </c>
      <c r="AY73" s="23">
        <f xml:space="preserve"> IF(M73&lt;&gt;"",IF(LEFT(M73,1)="S", Calculs!$B$48,0),0)</f>
        <v>0</v>
      </c>
      <c r="AZ73" s="29" t="str">
        <f t="shared" si="27"/>
        <v/>
      </c>
      <c r="BA73" s="29">
        <f>SUMIF(Calculs!$A$2:$A$33,AZ73,Calculs!$B$2:$B$33)</f>
        <v>0</v>
      </c>
      <c r="BB73" s="23">
        <f xml:space="preserve"> IF(Q73&lt;&gt;"",IF(LEFT(Q73,1)="S", Calculs!$B$48,0),0)</f>
        <v>0</v>
      </c>
      <c r="BC73" s="23">
        <f xml:space="preserve"> IF(R73&lt;&gt;"",IF(LEFT(R73,1)="S", Calculs!$B$47,0),0)</f>
        <v>0</v>
      </c>
      <c r="BD73" s="23">
        <f>SUMIF(Calculs!$A$40:$A$43,LEFT(S73,2),Calculs!$B$40:$B$43)</f>
        <v>0</v>
      </c>
      <c r="BE73" s="23">
        <f xml:space="preserve"> IF(U73&lt;&gt;"",IF(LEFT(U73,3)="ETT", Calculs!$B$36,0),0)</f>
        <v>0</v>
      </c>
      <c r="BF73" s="23">
        <f xml:space="preserve"> IF(V73&lt;&gt;"",IF(LEFT(V73,1)="S", Calculs!$B$47,0),0)</f>
        <v>0</v>
      </c>
      <c r="BG73" s="23">
        <f xml:space="preserve"> IF(W73&lt;&gt;"",IF(LEFT(W73,1)="S", Calculs!$B$48,0),0)</f>
        <v>0</v>
      </c>
      <c r="BH73" s="29" t="str">
        <f t="shared" si="28"/>
        <v/>
      </c>
      <c r="BI73" s="23">
        <f>SUMIF(Calculs!$A$32:$A$35,BH73,Calculs!$B$32:$B$35)</f>
        <v>0</v>
      </c>
      <c r="BJ73" s="185" t="str">
        <f t="shared" si="21"/>
        <v>N</v>
      </c>
      <c r="BK73" s="23">
        <f t="shared" si="22"/>
        <v>0</v>
      </c>
      <c r="BL73" s="23">
        <f>IF(AND(AR73&lt;&gt;0,BJ73="S"),VLOOKUP(AR73,Calculs!$A$53:$B$58,2,FALSE), 0)</f>
        <v>0</v>
      </c>
      <c r="BM73" s="16">
        <f t="shared" si="23"/>
        <v>0</v>
      </c>
    </row>
    <row r="74" spans="2:65" ht="13.8">
      <c r="B74" s="187"/>
      <c r="H74" s="12"/>
      <c r="I74" s="34"/>
      <c r="J74" s="34"/>
      <c r="K74" s="34"/>
      <c r="L74" s="34"/>
      <c r="M74" s="34"/>
      <c r="N74" s="34"/>
      <c r="O74" s="34"/>
      <c r="P74" s="34"/>
      <c r="Q74" s="34"/>
      <c r="R74" s="34"/>
      <c r="S74" s="34"/>
      <c r="T74" s="138"/>
      <c r="U74" s="186"/>
      <c r="V74" s="186"/>
      <c r="W74" s="186"/>
      <c r="AA74" s="138"/>
      <c r="AB74" s="138"/>
      <c r="AC74" s="138"/>
      <c r="AD74" s="139"/>
      <c r="AE74" s="140"/>
      <c r="AF74" s="141"/>
      <c r="AG74" s="141"/>
      <c r="AH74" s="141"/>
      <c r="AI74" s="142"/>
      <c r="AJ74" s="142"/>
      <c r="AK74" s="142"/>
      <c r="AL74" s="142"/>
      <c r="AM74" s="197"/>
      <c r="AN74" s="19"/>
      <c r="AO74" s="16" t="str">
        <f t="shared" si="18"/>
        <v/>
      </c>
      <c r="AP74" s="17" t="e">
        <f t="shared" si="19"/>
        <v>#N/A</v>
      </c>
      <c r="AQ74" s="25" t="str">
        <f t="shared" si="24"/>
        <v/>
      </c>
      <c r="AR74" s="32">
        <f t="shared" si="25"/>
        <v>0</v>
      </c>
      <c r="AS74" s="32">
        <f xml:space="preserve"> COUNTIF($B$11:B74,B74)</f>
        <v>0</v>
      </c>
      <c r="AT74" s="32" t="str">
        <f t="shared" si="20"/>
        <v>01N</v>
      </c>
      <c r="AU74" s="22" t="str">
        <f t="shared" si="26"/>
        <v/>
      </c>
      <c r="AV74" s="23">
        <f>SUMIF(Calculs!$A$2:$A$33,AU74,Calculs!$B$2:$B$33)</f>
        <v>0</v>
      </c>
      <c r="AW74" s="23">
        <f xml:space="preserve"> IF(K74&lt;&gt;"",IF(LEFT(K74,1)="S", Calculs!$B$49,0),0)</f>
        <v>0</v>
      </c>
      <c r="AX74" s="23">
        <f xml:space="preserve"> IF(L74&lt;&gt;"",IF(LEFT(L74,1)="S", Calculs!$B$47,0),0)</f>
        <v>0</v>
      </c>
      <c r="AY74" s="23">
        <f xml:space="preserve"> IF(M74&lt;&gt;"",IF(LEFT(M74,1)="S", Calculs!$B$48,0),0)</f>
        <v>0</v>
      </c>
      <c r="AZ74" s="29" t="str">
        <f t="shared" si="27"/>
        <v/>
      </c>
      <c r="BA74" s="29">
        <f>SUMIF(Calculs!$A$2:$A$33,AZ74,Calculs!$B$2:$B$33)</f>
        <v>0</v>
      </c>
      <c r="BB74" s="23">
        <f xml:space="preserve"> IF(Q74&lt;&gt;"",IF(LEFT(Q74,1)="S", Calculs!$B$48,0),0)</f>
        <v>0</v>
      </c>
      <c r="BC74" s="23">
        <f xml:space="preserve"> IF(R74&lt;&gt;"",IF(LEFT(R74,1)="S", Calculs!$B$47,0),0)</f>
        <v>0</v>
      </c>
      <c r="BD74" s="23">
        <f>SUMIF(Calculs!$A$40:$A$43,LEFT(S74,2),Calculs!$B$40:$B$43)</f>
        <v>0</v>
      </c>
      <c r="BE74" s="23">
        <f xml:space="preserve"> IF(U74&lt;&gt;"",IF(LEFT(U74,3)="ETT", Calculs!$B$36,0),0)</f>
        <v>0</v>
      </c>
      <c r="BF74" s="23">
        <f xml:space="preserve"> IF(V74&lt;&gt;"",IF(LEFT(V74,1)="S", Calculs!$B$47,0),0)</f>
        <v>0</v>
      </c>
      <c r="BG74" s="23">
        <f xml:space="preserve"> IF(W74&lt;&gt;"",IF(LEFT(W74,1)="S", Calculs!$B$48,0),0)</f>
        <v>0</v>
      </c>
      <c r="BH74" s="29" t="str">
        <f t="shared" si="28"/>
        <v/>
      </c>
      <c r="BI74" s="23">
        <f>SUMIF(Calculs!$A$32:$A$35,BH74,Calculs!$B$32:$B$35)</f>
        <v>0</v>
      </c>
      <c r="BJ74" s="185" t="str">
        <f t="shared" si="21"/>
        <v>N</v>
      </c>
      <c r="BK74" s="23">
        <f t="shared" si="22"/>
        <v>0</v>
      </c>
      <c r="BL74" s="23">
        <f>IF(AND(AR74&lt;&gt;0,BJ74="S"),VLOOKUP(AR74,Calculs!$A$53:$B$58,2,FALSE), 0)</f>
        <v>0</v>
      </c>
      <c r="BM74" s="16">
        <f t="shared" si="23"/>
        <v>0</v>
      </c>
    </row>
    <row r="75" spans="2:65" ht="13.8">
      <c r="B75" s="187"/>
      <c r="H75" s="12"/>
      <c r="I75" s="34"/>
      <c r="J75" s="34"/>
      <c r="K75" s="34"/>
      <c r="L75" s="34"/>
      <c r="M75" s="34"/>
      <c r="N75" s="34"/>
      <c r="O75" s="34"/>
      <c r="P75" s="34"/>
      <c r="Q75" s="34"/>
      <c r="R75" s="34"/>
      <c r="S75" s="34"/>
      <c r="T75" s="138"/>
      <c r="U75" s="186"/>
      <c r="V75" s="186"/>
      <c r="W75" s="186"/>
      <c r="AA75" s="138"/>
      <c r="AB75" s="138"/>
      <c r="AC75" s="138"/>
      <c r="AD75" s="139"/>
      <c r="AE75" s="140"/>
      <c r="AF75" s="141"/>
      <c r="AG75" s="141"/>
      <c r="AH75" s="141"/>
      <c r="AI75" s="142"/>
      <c r="AJ75" s="142"/>
      <c r="AK75" s="142"/>
      <c r="AL75" s="142"/>
      <c r="AM75" s="197"/>
      <c r="AN75" s="19"/>
      <c r="AO75" s="16" t="str">
        <f t="shared" si="18"/>
        <v/>
      </c>
      <c r="AP75" s="17" t="e">
        <f t="shared" si="19"/>
        <v>#N/A</v>
      </c>
      <c r="AQ75" s="25" t="str">
        <f t="shared" ref="AQ75:AQ110" si="29">IF(LEFT(C75,3)="Dir", "Sí","")</f>
        <v/>
      </c>
      <c r="AR75" s="32">
        <f t="shared" ref="AR75:AR110" si="30">IF(C75="Temps complert","PDI TC",IF(C75="Temps parcial","PDI TP",C75))</f>
        <v>0</v>
      </c>
      <c r="AS75" s="32">
        <f xml:space="preserve"> COUNTIF($B$11:B75,B75)</f>
        <v>0</v>
      </c>
      <c r="AT75" s="32" t="str">
        <f t="shared" si="20"/>
        <v>01N</v>
      </c>
      <c r="AU75" s="22" t="str">
        <f t="shared" ref="AU75:AU110" si="31" xml:space="preserve"> IF(I75&lt;&gt;"",CONCATENATE(LEFT(I75,5),IF(J75="Linux",".L",".W")),"")</f>
        <v/>
      </c>
      <c r="AV75" s="23">
        <f>SUMIF(Calculs!$A$2:$A$33,AU75,Calculs!$B$2:$B$33)</f>
        <v>0</v>
      </c>
      <c r="AW75" s="23">
        <f xml:space="preserve"> IF(K75&lt;&gt;"",IF(LEFT(K75,1)="S", Calculs!$B$49,0),0)</f>
        <v>0</v>
      </c>
      <c r="AX75" s="23">
        <f xml:space="preserve"> IF(L75&lt;&gt;"",IF(LEFT(L75,1)="S", Calculs!$B$47,0),0)</f>
        <v>0</v>
      </c>
      <c r="AY75" s="23">
        <f xml:space="preserve"> IF(M75&lt;&gt;"",IF(LEFT(M75,1)="S", Calculs!$B$48,0),0)</f>
        <v>0</v>
      </c>
      <c r="AZ75" s="29" t="str">
        <f t="shared" ref="AZ75:AZ110" si="32" xml:space="preserve"> IF(N75&lt;&gt;"",CONCATENATE(LEFT(N75,3),IF(O75="Linux",".L",".W")),"")</f>
        <v/>
      </c>
      <c r="BA75" s="29">
        <f>SUMIF(Calculs!$A$2:$A$33,AZ75,Calculs!$B$2:$B$33)</f>
        <v>0</v>
      </c>
      <c r="BB75" s="23">
        <f xml:space="preserve"> IF(Q75&lt;&gt;"",IF(LEFT(Q75,1)="S", Calculs!$B$48,0),0)</f>
        <v>0</v>
      </c>
      <c r="BC75" s="23">
        <f xml:space="preserve"> IF(R75&lt;&gt;"",IF(LEFT(R75,1)="S", Calculs!$B$47,0),0)</f>
        <v>0</v>
      </c>
      <c r="BD75" s="23">
        <f>SUMIF(Calculs!$A$40:$A$43,LEFT(S75,2),Calculs!$B$40:$B$43)</f>
        <v>0</v>
      </c>
      <c r="BE75" s="23">
        <f xml:space="preserve"> IF(U75&lt;&gt;"",IF(LEFT(U75,3)="ETT", Calculs!$B$36,0),0)</f>
        <v>0</v>
      </c>
      <c r="BF75" s="23">
        <f xml:space="preserve"> IF(V75&lt;&gt;"",IF(LEFT(V75,1)="S", Calculs!$B$47,0),0)</f>
        <v>0</v>
      </c>
      <c r="BG75" s="23">
        <f xml:space="preserve"> IF(W75&lt;&gt;"",IF(LEFT(W75,1)="S", Calculs!$B$48,0),0)</f>
        <v>0</v>
      </c>
      <c r="BH75" s="29" t="str">
        <f t="shared" ref="BH75:BH110" si="33" xml:space="preserve"> IF(T75&lt;&gt;"",LEFT(T75,4),"")</f>
        <v/>
      </c>
      <c r="BI75" s="23">
        <f>SUMIF(Calculs!$A$32:$A$35,BH75,Calculs!$B$32:$B$35)</f>
        <v>0</v>
      </c>
      <c r="BJ75" s="185" t="str">
        <f t="shared" si="21"/>
        <v>N</v>
      </c>
      <c r="BK75" s="23">
        <f t="shared" si="22"/>
        <v>0</v>
      </c>
      <c r="BL75" s="23">
        <f>IF(AND(AR75&lt;&gt;0,BJ75="S"),VLOOKUP(AR75,Calculs!$A$53:$B$58,2,FALSE), 0)</f>
        <v>0</v>
      </c>
      <c r="BM75" s="16">
        <f t="shared" si="23"/>
        <v>0</v>
      </c>
    </row>
    <row r="76" spans="2:65" ht="13.8">
      <c r="B76" s="187"/>
      <c r="H76" s="12"/>
      <c r="I76" s="34"/>
      <c r="J76" s="34"/>
      <c r="K76" s="34"/>
      <c r="L76" s="34"/>
      <c r="M76" s="34"/>
      <c r="N76" s="34"/>
      <c r="O76" s="34"/>
      <c r="P76" s="34"/>
      <c r="Q76" s="34"/>
      <c r="R76" s="34"/>
      <c r="S76" s="34"/>
      <c r="T76" s="138"/>
      <c r="U76" s="186"/>
      <c r="V76" s="186"/>
      <c r="W76" s="186"/>
      <c r="AA76" s="138"/>
      <c r="AB76" s="138"/>
      <c r="AC76" s="138"/>
      <c r="AD76" s="139"/>
      <c r="AE76" s="140"/>
      <c r="AF76" s="141"/>
      <c r="AG76" s="141"/>
      <c r="AH76" s="141"/>
      <c r="AI76" s="142"/>
      <c r="AJ76" s="142"/>
      <c r="AK76" s="142"/>
      <c r="AL76" s="142"/>
      <c r="AM76" s="197"/>
      <c r="AN76" s="19"/>
      <c r="AO76" s="16" t="str">
        <f t="shared" ref="AO76:AO110" si="34">$AO$6</f>
        <v/>
      </c>
      <c r="AP76" s="17" t="e">
        <f t="shared" ref="AP76:AP110" si="35">$AP$6</f>
        <v>#N/A</v>
      </c>
      <c r="AQ76" s="25" t="str">
        <f t="shared" si="29"/>
        <v/>
      </c>
      <c r="AR76" s="32">
        <f t="shared" si="30"/>
        <v>0</v>
      </c>
      <c r="AS76" s="32">
        <f xml:space="preserve"> COUNTIF($B$11:B76,B76)</f>
        <v>0</v>
      </c>
      <c r="AT76" s="32" t="str">
        <f t="shared" ref="AT76:AT110" si="36">CONCATENATE(AR76,"1",BJ76)</f>
        <v>01N</v>
      </c>
      <c r="AU76" s="22" t="str">
        <f t="shared" si="31"/>
        <v/>
      </c>
      <c r="AV76" s="23">
        <f>SUMIF(Calculs!$A$2:$A$33,AU76,Calculs!$B$2:$B$33)</f>
        <v>0</v>
      </c>
      <c r="AW76" s="23">
        <f xml:space="preserve"> IF(K76&lt;&gt;"",IF(LEFT(K76,1)="S", Calculs!$B$49,0),0)</f>
        <v>0</v>
      </c>
      <c r="AX76" s="23">
        <f xml:space="preserve"> IF(L76&lt;&gt;"",IF(LEFT(L76,1)="S", Calculs!$B$47,0),0)</f>
        <v>0</v>
      </c>
      <c r="AY76" s="23">
        <f xml:space="preserve"> IF(M76&lt;&gt;"",IF(LEFT(M76,1)="S", Calculs!$B$48,0),0)</f>
        <v>0</v>
      </c>
      <c r="AZ76" s="29" t="str">
        <f t="shared" si="32"/>
        <v/>
      </c>
      <c r="BA76" s="29">
        <f>SUMIF(Calculs!$A$2:$A$33,AZ76,Calculs!$B$2:$B$33)</f>
        <v>0</v>
      </c>
      <c r="BB76" s="23">
        <f xml:space="preserve"> IF(Q76&lt;&gt;"",IF(LEFT(Q76,1)="S", Calculs!$B$48,0),0)</f>
        <v>0</v>
      </c>
      <c r="BC76" s="23">
        <f xml:space="preserve"> IF(R76&lt;&gt;"",IF(LEFT(R76,1)="S", Calculs!$B$47,0),0)</f>
        <v>0</v>
      </c>
      <c r="BD76" s="23">
        <f>SUMIF(Calculs!$A$40:$A$43,LEFT(S76,2),Calculs!$B$40:$B$43)</f>
        <v>0</v>
      </c>
      <c r="BE76" s="23">
        <f xml:space="preserve"> IF(U76&lt;&gt;"",IF(LEFT(U76,3)="ETT", Calculs!$B$36,0),0)</f>
        <v>0</v>
      </c>
      <c r="BF76" s="23">
        <f xml:space="preserve"> IF(V76&lt;&gt;"",IF(LEFT(V76,1)="S", Calculs!$B$47,0),0)</f>
        <v>0</v>
      </c>
      <c r="BG76" s="23">
        <f xml:space="preserve"> IF(W76&lt;&gt;"",IF(LEFT(W76,1)="S", Calculs!$B$48,0),0)</f>
        <v>0</v>
      </c>
      <c r="BH76" s="29" t="str">
        <f t="shared" si="33"/>
        <v/>
      </c>
      <c r="BI76" s="23">
        <f>SUMIF(Calculs!$A$32:$A$35,BH76,Calculs!$B$32:$B$35)</f>
        <v>0</v>
      </c>
      <c r="BJ76" s="185" t="str">
        <f t="shared" ref="BJ76:BJ110" si="37">IF(IF(AU76&lt;&gt;"",1,0) + IF(AZ76&lt;&gt;"",1,0)+IF(BE76&lt;&gt;0,1,0)+IF(BH76&lt;&gt;"",1,0)&gt;0,"S","N")</f>
        <v>N</v>
      </c>
      <c r="BK76" s="23">
        <f t="shared" ref="BK76:BK110" si="38">AV76+AW76+AX76+AY76+BA76+BB76+BC76+BD76+BE76+BF76+BG76+BI76</f>
        <v>0</v>
      </c>
      <c r="BL76" s="23">
        <f>IF(AND(AR76&lt;&gt;0,BJ76="S"),VLOOKUP(AR76,Calculs!$A$53:$B$58,2,FALSE), 0)</f>
        <v>0</v>
      </c>
      <c r="BM76" s="16">
        <f t="shared" ref="BM76:BM110" si="39">BK76-BL76</f>
        <v>0</v>
      </c>
    </row>
    <row r="77" spans="2:65" ht="13.8">
      <c r="B77" s="187"/>
      <c r="H77" s="12"/>
      <c r="I77" s="34"/>
      <c r="J77" s="34"/>
      <c r="K77" s="34"/>
      <c r="L77" s="34"/>
      <c r="M77" s="34"/>
      <c r="N77" s="34"/>
      <c r="O77" s="34"/>
      <c r="P77" s="34"/>
      <c r="Q77" s="34"/>
      <c r="R77" s="34"/>
      <c r="S77" s="34"/>
      <c r="T77" s="138"/>
      <c r="U77" s="186"/>
      <c r="V77" s="186"/>
      <c r="W77" s="186"/>
      <c r="AA77" s="138"/>
      <c r="AB77" s="138"/>
      <c r="AC77" s="138"/>
      <c r="AD77" s="139"/>
      <c r="AE77" s="140"/>
      <c r="AF77" s="141"/>
      <c r="AG77" s="141"/>
      <c r="AH77" s="141"/>
      <c r="AI77" s="142"/>
      <c r="AJ77" s="142"/>
      <c r="AK77" s="142"/>
      <c r="AL77" s="142"/>
      <c r="AM77" s="197"/>
      <c r="AN77" s="19"/>
      <c r="AO77" s="16" t="str">
        <f t="shared" si="34"/>
        <v/>
      </c>
      <c r="AP77" s="17" t="e">
        <f t="shared" si="35"/>
        <v>#N/A</v>
      </c>
      <c r="AQ77" s="25" t="str">
        <f t="shared" si="29"/>
        <v/>
      </c>
      <c r="AR77" s="32">
        <f t="shared" si="30"/>
        <v>0</v>
      </c>
      <c r="AS77" s="32">
        <f xml:space="preserve"> COUNTIF($B$11:B77,B77)</f>
        <v>0</v>
      </c>
      <c r="AT77" s="32" t="str">
        <f t="shared" si="36"/>
        <v>01N</v>
      </c>
      <c r="AU77" s="22" t="str">
        <f t="shared" si="31"/>
        <v/>
      </c>
      <c r="AV77" s="23">
        <f>SUMIF(Calculs!$A$2:$A$33,AU77,Calculs!$B$2:$B$33)</f>
        <v>0</v>
      </c>
      <c r="AW77" s="23">
        <f xml:space="preserve"> IF(K77&lt;&gt;"",IF(LEFT(K77,1)="S", Calculs!$B$49,0),0)</f>
        <v>0</v>
      </c>
      <c r="AX77" s="23">
        <f xml:space="preserve"> IF(L77&lt;&gt;"",IF(LEFT(L77,1)="S", Calculs!$B$47,0),0)</f>
        <v>0</v>
      </c>
      <c r="AY77" s="23">
        <f xml:space="preserve"> IF(M77&lt;&gt;"",IF(LEFT(M77,1)="S", Calculs!$B$48,0),0)</f>
        <v>0</v>
      </c>
      <c r="AZ77" s="29" t="str">
        <f t="shared" si="32"/>
        <v/>
      </c>
      <c r="BA77" s="29">
        <f>SUMIF(Calculs!$A$2:$A$33,AZ77,Calculs!$B$2:$B$33)</f>
        <v>0</v>
      </c>
      <c r="BB77" s="23">
        <f xml:space="preserve"> IF(Q77&lt;&gt;"",IF(LEFT(Q77,1)="S", Calculs!$B$48,0),0)</f>
        <v>0</v>
      </c>
      <c r="BC77" s="23">
        <f xml:space="preserve"> IF(R77&lt;&gt;"",IF(LEFT(R77,1)="S", Calculs!$B$47,0),0)</f>
        <v>0</v>
      </c>
      <c r="BD77" s="23">
        <f>SUMIF(Calculs!$A$40:$A$43,LEFT(S77,2),Calculs!$B$40:$B$43)</f>
        <v>0</v>
      </c>
      <c r="BE77" s="23">
        <f xml:space="preserve"> IF(U77&lt;&gt;"",IF(LEFT(U77,3)="ETT", Calculs!$B$36,0),0)</f>
        <v>0</v>
      </c>
      <c r="BF77" s="23">
        <f xml:space="preserve"> IF(V77&lt;&gt;"",IF(LEFT(V77,1)="S", Calculs!$B$47,0),0)</f>
        <v>0</v>
      </c>
      <c r="BG77" s="23">
        <f xml:space="preserve"> IF(W77&lt;&gt;"",IF(LEFT(W77,1)="S", Calculs!$B$48,0),0)</f>
        <v>0</v>
      </c>
      <c r="BH77" s="29" t="str">
        <f t="shared" si="33"/>
        <v/>
      </c>
      <c r="BI77" s="23">
        <f>SUMIF(Calculs!$A$32:$A$35,BH77,Calculs!$B$32:$B$35)</f>
        <v>0</v>
      </c>
      <c r="BJ77" s="185" t="str">
        <f t="shared" si="37"/>
        <v>N</v>
      </c>
      <c r="BK77" s="23">
        <f t="shared" si="38"/>
        <v>0</v>
      </c>
      <c r="BL77" s="23">
        <f>IF(AND(AR77&lt;&gt;0,BJ77="S"),VLOOKUP(AR77,Calculs!$A$53:$B$58,2,FALSE), 0)</f>
        <v>0</v>
      </c>
      <c r="BM77" s="16">
        <f t="shared" si="39"/>
        <v>0</v>
      </c>
    </row>
    <row r="78" spans="2:65" ht="13.8">
      <c r="B78" s="187"/>
      <c r="H78" s="12"/>
      <c r="I78" s="34"/>
      <c r="J78" s="34"/>
      <c r="K78" s="34"/>
      <c r="L78" s="34"/>
      <c r="M78" s="34"/>
      <c r="N78" s="34"/>
      <c r="O78" s="34"/>
      <c r="P78" s="34"/>
      <c r="Q78" s="34"/>
      <c r="R78" s="34"/>
      <c r="S78" s="34"/>
      <c r="T78" s="138"/>
      <c r="U78" s="186"/>
      <c r="V78" s="186"/>
      <c r="W78" s="186"/>
      <c r="AA78" s="138"/>
      <c r="AB78" s="138"/>
      <c r="AC78" s="138"/>
      <c r="AD78" s="139"/>
      <c r="AE78" s="140"/>
      <c r="AF78" s="141"/>
      <c r="AG78" s="141"/>
      <c r="AH78" s="141"/>
      <c r="AI78" s="142"/>
      <c r="AJ78" s="142"/>
      <c r="AK78" s="142"/>
      <c r="AL78" s="142"/>
      <c r="AM78" s="197"/>
      <c r="AN78" s="19"/>
      <c r="AO78" s="16" t="str">
        <f t="shared" si="34"/>
        <v/>
      </c>
      <c r="AP78" s="17" t="e">
        <f t="shared" si="35"/>
        <v>#N/A</v>
      </c>
      <c r="AQ78" s="25" t="str">
        <f t="shared" si="29"/>
        <v/>
      </c>
      <c r="AR78" s="32">
        <f t="shared" si="30"/>
        <v>0</v>
      </c>
      <c r="AS78" s="32">
        <f xml:space="preserve"> COUNTIF($B$11:B78,B78)</f>
        <v>0</v>
      </c>
      <c r="AT78" s="32" t="str">
        <f t="shared" si="36"/>
        <v>01N</v>
      </c>
      <c r="AU78" s="22" t="str">
        <f t="shared" si="31"/>
        <v/>
      </c>
      <c r="AV78" s="23">
        <f>SUMIF(Calculs!$A$2:$A$33,AU78,Calculs!$B$2:$B$33)</f>
        <v>0</v>
      </c>
      <c r="AW78" s="23">
        <f xml:space="preserve"> IF(K78&lt;&gt;"",IF(LEFT(K78,1)="S", Calculs!$B$49,0),0)</f>
        <v>0</v>
      </c>
      <c r="AX78" s="23">
        <f xml:space="preserve"> IF(L78&lt;&gt;"",IF(LEFT(L78,1)="S", Calculs!$B$47,0),0)</f>
        <v>0</v>
      </c>
      <c r="AY78" s="23">
        <f xml:space="preserve"> IF(M78&lt;&gt;"",IF(LEFT(M78,1)="S", Calculs!$B$48,0),0)</f>
        <v>0</v>
      </c>
      <c r="AZ78" s="29" t="str">
        <f t="shared" si="32"/>
        <v/>
      </c>
      <c r="BA78" s="29">
        <f>SUMIF(Calculs!$A$2:$A$33,AZ78,Calculs!$B$2:$B$33)</f>
        <v>0</v>
      </c>
      <c r="BB78" s="23">
        <f xml:space="preserve"> IF(Q78&lt;&gt;"",IF(LEFT(Q78,1)="S", Calculs!$B$48,0),0)</f>
        <v>0</v>
      </c>
      <c r="BC78" s="23">
        <f xml:space="preserve"> IF(R78&lt;&gt;"",IF(LEFT(R78,1)="S", Calculs!$B$47,0),0)</f>
        <v>0</v>
      </c>
      <c r="BD78" s="23">
        <f>SUMIF(Calculs!$A$40:$A$43,LEFT(S78,2),Calculs!$B$40:$B$43)</f>
        <v>0</v>
      </c>
      <c r="BE78" s="23">
        <f xml:space="preserve"> IF(U78&lt;&gt;"",IF(LEFT(U78,3)="ETT", Calculs!$B$36,0),0)</f>
        <v>0</v>
      </c>
      <c r="BF78" s="23">
        <f xml:space="preserve"> IF(V78&lt;&gt;"",IF(LEFT(V78,1)="S", Calculs!$B$47,0),0)</f>
        <v>0</v>
      </c>
      <c r="BG78" s="23">
        <f xml:space="preserve"> IF(W78&lt;&gt;"",IF(LEFT(W78,1)="S", Calculs!$B$48,0),0)</f>
        <v>0</v>
      </c>
      <c r="BH78" s="29" t="str">
        <f t="shared" si="33"/>
        <v/>
      </c>
      <c r="BI78" s="23">
        <f>SUMIF(Calculs!$A$32:$A$35,BH78,Calculs!$B$32:$B$35)</f>
        <v>0</v>
      </c>
      <c r="BJ78" s="185" t="str">
        <f t="shared" si="37"/>
        <v>N</v>
      </c>
      <c r="BK78" s="23">
        <f t="shared" si="38"/>
        <v>0</v>
      </c>
      <c r="BL78" s="23">
        <f>IF(AND(AR78&lt;&gt;0,BJ78="S"),VLOOKUP(AR78,Calculs!$A$53:$B$58,2,FALSE), 0)</f>
        <v>0</v>
      </c>
      <c r="BM78" s="16">
        <f t="shared" si="39"/>
        <v>0</v>
      </c>
    </row>
    <row r="79" spans="2:65" ht="13.8">
      <c r="B79" s="187"/>
      <c r="H79" s="12"/>
      <c r="I79" s="34"/>
      <c r="J79" s="34"/>
      <c r="K79" s="34"/>
      <c r="L79" s="34"/>
      <c r="M79" s="34"/>
      <c r="N79" s="34"/>
      <c r="O79" s="34"/>
      <c r="P79" s="34"/>
      <c r="Q79" s="34"/>
      <c r="R79" s="34"/>
      <c r="S79" s="34"/>
      <c r="T79" s="138"/>
      <c r="U79" s="186"/>
      <c r="V79" s="186"/>
      <c r="W79" s="186"/>
      <c r="AA79" s="138"/>
      <c r="AB79" s="138"/>
      <c r="AC79" s="138"/>
      <c r="AD79" s="139"/>
      <c r="AE79" s="140"/>
      <c r="AF79" s="141"/>
      <c r="AG79" s="141"/>
      <c r="AH79" s="141"/>
      <c r="AI79" s="142"/>
      <c r="AJ79" s="142"/>
      <c r="AK79" s="142"/>
      <c r="AL79" s="142"/>
      <c r="AM79" s="197"/>
      <c r="AN79" s="19"/>
      <c r="AO79" s="16" t="str">
        <f t="shared" si="34"/>
        <v/>
      </c>
      <c r="AP79" s="17" t="e">
        <f t="shared" si="35"/>
        <v>#N/A</v>
      </c>
      <c r="AQ79" s="25" t="str">
        <f t="shared" si="29"/>
        <v/>
      </c>
      <c r="AR79" s="32">
        <f t="shared" si="30"/>
        <v>0</v>
      </c>
      <c r="AS79" s="32">
        <f xml:space="preserve"> COUNTIF($B$11:B79,B79)</f>
        <v>0</v>
      </c>
      <c r="AT79" s="32" t="str">
        <f t="shared" si="36"/>
        <v>01N</v>
      </c>
      <c r="AU79" s="22" t="str">
        <f t="shared" si="31"/>
        <v/>
      </c>
      <c r="AV79" s="23">
        <f>SUMIF(Calculs!$A$2:$A$33,AU79,Calculs!$B$2:$B$33)</f>
        <v>0</v>
      </c>
      <c r="AW79" s="23">
        <f xml:space="preserve"> IF(K79&lt;&gt;"",IF(LEFT(K79,1)="S", Calculs!$B$49,0),0)</f>
        <v>0</v>
      </c>
      <c r="AX79" s="23">
        <f xml:space="preserve"> IF(L79&lt;&gt;"",IF(LEFT(L79,1)="S", Calculs!$B$47,0),0)</f>
        <v>0</v>
      </c>
      <c r="AY79" s="23">
        <f xml:space="preserve"> IF(M79&lt;&gt;"",IF(LEFT(M79,1)="S", Calculs!$B$48,0),0)</f>
        <v>0</v>
      </c>
      <c r="AZ79" s="29" t="str">
        <f t="shared" si="32"/>
        <v/>
      </c>
      <c r="BA79" s="29">
        <f>SUMIF(Calculs!$A$2:$A$33,AZ79,Calculs!$B$2:$B$33)</f>
        <v>0</v>
      </c>
      <c r="BB79" s="23">
        <f xml:space="preserve"> IF(Q79&lt;&gt;"",IF(LEFT(Q79,1)="S", Calculs!$B$48,0),0)</f>
        <v>0</v>
      </c>
      <c r="BC79" s="23">
        <f xml:space="preserve"> IF(R79&lt;&gt;"",IF(LEFT(R79,1)="S", Calculs!$B$47,0),0)</f>
        <v>0</v>
      </c>
      <c r="BD79" s="23">
        <f>SUMIF(Calculs!$A$40:$A$43,LEFT(S79,2),Calculs!$B$40:$B$43)</f>
        <v>0</v>
      </c>
      <c r="BE79" s="23">
        <f xml:space="preserve"> IF(U79&lt;&gt;"",IF(LEFT(U79,3)="ETT", Calculs!$B$36,0),0)</f>
        <v>0</v>
      </c>
      <c r="BF79" s="23">
        <f xml:space="preserve"> IF(V79&lt;&gt;"",IF(LEFT(V79,1)="S", Calculs!$B$47,0),0)</f>
        <v>0</v>
      </c>
      <c r="BG79" s="23">
        <f xml:space="preserve"> IF(W79&lt;&gt;"",IF(LEFT(W79,1)="S", Calculs!$B$48,0),0)</f>
        <v>0</v>
      </c>
      <c r="BH79" s="29" t="str">
        <f t="shared" si="33"/>
        <v/>
      </c>
      <c r="BI79" s="23">
        <f>SUMIF(Calculs!$A$32:$A$35,BH79,Calculs!$B$32:$B$35)</f>
        <v>0</v>
      </c>
      <c r="BJ79" s="185" t="str">
        <f t="shared" si="37"/>
        <v>N</v>
      </c>
      <c r="BK79" s="23">
        <f t="shared" si="38"/>
        <v>0</v>
      </c>
      <c r="BL79" s="23">
        <f>IF(AND(AR79&lt;&gt;0,BJ79="S"),VLOOKUP(AR79,Calculs!$A$53:$B$58,2,FALSE), 0)</f>
        <v>0</v>
      </c>
      <c r="BM79" s="16">
        <f t="shared" si="39"/>
        <v>0</v>
      </c>
    </row>
    <row r="80" spans="2:65" ht="13.8">
      <c r="B80" s="187"/>
      <c r="H80" s="12"/>
      <c r="I80" s="34"/>
      <c r="J80" s="34"/>
      <c r="K80" s="34"/>
      <c r="L80" s="34"/>
      <c r="M80" s="34"/>
      <c r="N80" s="34"/>
      <c r="O80" s="34"/>
      <c r="P80" s="34"/>
      <c r="Q80" s="34"/>
      <c r="R80" s="34"/>
      <c r="S80" s="34"/>
      <c r="T80" s="138"/>
      <c r="U80" s="186"/>
      <c r="V80" s="186"/>
      <c r="W80" s="186"/>
      <c r="AA80" s="138"/>
      <c r="AB80" s="138"/>
      <c r="AC80" s="138"/>
      <c r="AD80" s="139"/>
      <c r="AE80" s="140"/>
      <c r="AF80" s="141"/>
      <c r="AG80" s="141"/>
      <c r="AH80" s="141"/>
      <c r="AI80" s="142"/>
      <c r="AJ80" s="142"/>
      <c r="AK80" s="142"/>
      <c r="AL80" s="142"/>
      <c r="AM80" s="197"/>
      <c r="AN80" s="19"/>
      <c r="AO80" s="16" t="str">
        <f t="shared" si="34"/>
        <v/>
      </c>
      <c r="AP80" s="17" t="e">
        <f t="shared" si="35"/>
        <v>#N/A</v>
      </c>
      <c r="AQ80" s="25" t="str">
        <f t="shared" si="29"/>
        <v/>
      </c>
      <c r="AR80" s="32">
        <f t="shared" si="30"/>
        <v>0</v>
      </c>
      <c r="AS80" s="32">
        <f xml:space="preserve"> COUNTIF($B$11:B80,B80)</f>
        <v>0</v>
      </c>
      <c r="AT80" s="32" t="str">
        <f t="shared" si="36"/>
        <v>01N</v>
      </c>
      <c r="AU80" s="22" t="str">
        <f t="shared" si="31"/>
        <v/>
      </c>
      <c r="AV80" s="23">
        <f>SUMIF(Calculs!$A$2:$A$33,AU80,Calculs!$B$2:$B$33)</f>
        <v>0</v>
      </c>
      <c r="AW80" s="23">
        <f xml:space="preserve"> IF(K80&lt;&gt;"",IF(LEFT(K80,1)="S", Calculs!$B$49,0),0)</f>
        <v>0</v>
      </c>
      <c r="AX80" s="23">
        <f xml:space="preserve"> IF(L80&lt;&gt;"",IF(LEFT(L80,1)="S", Calculs!$B$47,0),0)</f>
        <v>0</v>
      </c>
      <c r="AY80" s="23">
        <f xml:space="preserve"> IF(M80&lt;&gt;"",IF(LEFT(M80,1)="S", Calculs!$B$48,0),0)</f>
        <v>0</v>
      </c>
      <c r="AZ80" s="29" t="str">
        <f t="shared" si="32"/>
        <v/>
      </c>
      <c r="BA80" s="29">
        <f>SUMIF(Calculs!$A$2:$A$33,AZ80,Calculs!$B$2:$B$33)</f>
        <v>0</v>
      </c>
      <c r="BB80" s="23">
        <f xml:space="preserve"> IF(Q80&lt;&gt;"",IF(LEFT(Q80,1)="S", Calculs!$B$48,0),0)</f>
        <v>0</v>
      </c>
      <c r="BC80" s="23">
        <f xml:space="preserve"> IF(R80&lt;&gt;"",IF(LEFT(R80,1)="S", Calculs!$B$47,0),0)</f>
        <v>0</v>
      </c>
      <c r="BD80" s="23">
        <f>SUMIF(Calculs!$A$40:$A$43,LEFT(S80,2),Calculs!$B$40:$B$43)</f>
        <v>0</v>
      </c>
      <c r="BE80" s="23">
        <f xml:space="preserve"> IF(U80&lt;&gt;"",IF(LEFT(U80,3)="ETT", Calculs!$B$36,0),0)</f>
        <v>0</v>
      </c>
      <c r="BF80" s="23">
        <f xml:space="preserve"> IF(V80&lt;&gt;"",IF(LEFT(V80,1)="S", Calculs!$B$47,0),0)</f>
        <v>0</v>
      </c>
      <c r="BG80" s="23">
        <f xml:space="preserve"> IF(W80&lt;&gt;"",IF(LEFT(W80,1)="S", Calculs!$B$48,0),0)</f>
        <v>0</v>
      </c>
      <c r="BH80" s="29" t="str">
        <f t="shared" si="33"/>
        <v/>
      </c>
      <c r="BI80" s="23">
        <f>SUMIF(Calculs!$A$32:$A$35,BH80,Calculs!$B$32:$B$35)</f>
        <v>0</v>
      </c>
      <c r="BJ80" s="185" t="str">
        <f t="shared" si="37"/>
        <v>N</v>
      </c>
      <c r="BK80" s="23">
        <f t="shared" si="38"/>
        <v>0</v>
      </c>
      <c r="BL80" s="23">
        <f>IF(AND(AR80&lt;&gt;0,BJ80="S"),VLOOKUP(AR80,Calculs!$A$53:$B$58,2,FALSE), 0)</f>
        <v>0</v>
      </c>
      <c r="BM80" s="16">
        <f t="shared" si="39"/>
        <v>0</v>
      </c>
    </row>
    <row r="81" spans="2:65" ht="13.8">
      <c r="B81" s="187"/>
      <c r="H81" s="12"/>
      <c r="I81" s="34"/>
      <c r="J81" s="34"/>
      <c r="K81" s="34"/>
      <c r="L81" s="34"/>
      <c r="M81" s="34"/>
      <c r="N81" s="34"/>
      <c r="O81" s="34"/>
      <c r="P81" s="34"/>
      <c r="Q81" s="34"/>
      <c r="R81" s="34"/>
      <c r="S81" s="34"/>
      <c r="T81" s="138"/>
      <c r="U81" s="186"/>
      <c r="V81" s="186"/>
      <c r="W81" s="186"/>
      <c r="AA81" s="138"/>
      <c r="AB81" s="138"/>
      <c r="AC81" s="138"/>
      <c r="AD81" s="139"/>
      <c r="AE81" s="140"/>
      <c r="AF81" s="141"/>
      <c r="AG81" s="141"/>
      <c r="AH81" s="141"/>
      <c r="AI81" s="142"/>
      <c r="AJ81" s="142"/>
      <c r="AK81" s="142"/>
      <c r="AL81" s="142"/>
      <c r="AM81" s="197"/>
      <c r="AN81" s="19"/>
      <c r="AO81" s="16" t="str">
        <f t="shared" si="34"/>
        <v/>
      </c>
      <c r="AP81" s="17" t="e">
        <f t="shared" si="35"/>
        <v>#N/A</v>
      </c>
      <c r="AQ81" s="25" t="str">
        <f t="shared" si="29"/>
        <v/>
      </c>
      <c r="AR81" s="32">
        <f t="shared" si="30"/>
        <v>0</v>
      </c>
      <c r="AS81" s="32">
        <f xml:space="preserve"> COUNTIF($B$11:B81,B81)</f>
        <v>0</v>
      </c>
      <c r="AT81" s="32" t="str">
        <f t="shared" si="36"/>
        <v>01N</v>
      </c>
      <c r="AU81" s="22" t="str">
        <f t="shared" si="31"/>
        <v/>
      </c>
      <c r="AV81" s="23">
        <f>SUMIF(Calculs!$A$2:$A$33,AU81,Calculs!$B$2:$B$33)</f>
        <v>0</v>
      </c>
      <c r="AW81" s="23">
        <f xml:space="preserve"> IF(K81&lt;&gt;"",IF(LEFT(K81,1)="S", Calculs!$B$49,0),0)</f>
        <v>0</v>
      </c>
      <c r="AX81" s="23">
        <f xml:space="preserve"> IF(L81&lt;&gt;"",IF(LEFT(L81,1)="S", Calculs!$B$47,0),0)</f>
        <v>0</v>
      </c>
      <c r="AY81" s="23">
        <f xml:space="preserve"> IF(M81&lt;&gt;"",IF(LEFT(M81,1)="S", Calculs!$B$48,0),0)</f>
        <v>0</v>
      </c>
      <c r="AZ81" s="29" t="str">
        <f t="shared" si="32"/>
        <v/>
      </c>
      <c r="BA81" s="29">
        <f>SUMIF(Calculs!$A$2:$A$33,AZ81,Calculs!$B$2:$B$33)</f>
        <v>0</v>
      </c>
      <c r="BB81" s="23">
        <f xml:space="preserve"> IF(Q81&lt;&gt;"",IF(LEFT(Q81,1)="S", Calculs!$B$48,0),0)</f>
        <v>0</v>
      </c>
      <c r="BC81" s="23">
        <f xml:space="preserve"> IF(R81&lt;&gt;"",IF(LEFT(R81,1)="S", Calculs!$B$47,0),0)</f>
        <v>0</v>
      </c>
      <c r="BD81" s="23">
        <f>SUMIF(Calculs!$A$40:$A$43,LEFT(S81,2),Calculs!$B$40:$B$43)</f>
        <v>0</v>
      </c>
      <c r="BE81" s="23">
        <f xml:space="preserve"> IF(U81&lt;&gt;"",IF(LEFT(U81,3)="ETT", Calculs!$B$36,0),0)</f>
        <v>0</v>
      </c>
      <c r="BF81" s="23">
        <f xml:space="preserve"> IF(V81&lt;&gt;"",IF(LEFT(V81,1)="S", Calculs!$B$47,0),0)</f>
        <v>0</v>
      </c>
      <c r="BG81" s="23">
        <f xml:space="preserve"> IF(W81&lt;&gt;"",IF(LEFT(W81,1)="S", Calculs!$B$48,0),0)</f>
        <v>0</v>
      </c>
      <c r="BH81" s="29" t="str">
        <f t="shared" si="33"/>
        <v/>
      </c>
      <c r="BI81" s="23">
        <f>SUMIF(Calculs!$A$32:$A$35,BH81,Calculs!$B$32:$B$35)</f>
        <v>0</v>
      </c>
      <c r="BJ81" s="185" t="str">
        <f t="shared" si="37"/>
        <v>N</v>
      </c>
      <c r="BK81" s="23">
        <f t="shared" si="38"/>
        <v>0</v>
      </c>
      <c r="BL81" s="23">
        <f>IF(AND(AR81&lt;&gt;0,BJ81="S"),VLOOKUP(AR81,Calculs!$A$53:$B$58,2,FALSE), 0)</f>
        <v>0</v>
      </c>
      <c r="BM81" s="16">
        <f t="shared" si="39"/>
        <v>0</v>
      </c>
    </row>
    <row r="82" spans="2:65" ht="13.8">
      <c r="B82" s="187"/>
      <c r="H82" s="12"/>
      <c r="I82" s="34"/>
      <c r="J82" s="34"/>
      <c r="K82" s="34"/>
      <c r="L82" s="34"/>
      <c r="M82" s="34"/>
      <c r="N82" s="34"/>
      <c r="O82" s="34"/>
      <c r="P82" s="34"/>
      <c r="Q82" s="34"/>
      <c r="R82" s="34"/>
      <c r="S82" s="34"/>
      <c r="T82" s="138"/>
      <c r="U82" s="186"/>
      <c r="V82" s="186"/>
      <c r="W82" s="186"/>
      <c r="AA82" s="138"/>
      <c r="AB82" s="138"/>
      <c r="AC82" s="138"/>
      <c r="AD82" s="139"/>
      <c r="AE82" s="140"/>
      <c r="AF82" s="141"/>
      <c r="AG82" s="141"/>
      <c r="AH82" s="141"/>
      <c r="AI82" s="142"/>
      <c r="AJ82" s="142"/>
      <c r="AK82" s="142"/>
      <c r="AL82" s="142"/>
      <c r="AM82" s="197"/>
      <c r="AN82" s="19"/>
      <c r="AO82" s="16" t="str">
        <f t="shared" si="34"/>
        <v/>
      </c>
      <c r="AP82" s="17" t="e">
        <f t="shared" si="35"/>
        <v>#N/A</v>
      </c>
      <c r="AQ82" s="25" t="str">
        <f t="shared" si="29"/>
        <v/>
      </c>
      <c r="AR82" s="32">
        <f t="shared" si="30"/>
        <v>0</v>
      </c>
      <c r="AS82" s="32">
        <f xml:space="preserve"> COUNTIF($B$11:B82,B82)</f>
        <v>0</v>
      </c>
      <c r="AT82" s="32" t="str">
        <f t="shared" si="36"/>
        <v>01N</v>
      </c>
      <c r="AU82" s="22" t="str">
        <f t="shared" si="31"/>
        <v/>
      </c>
      <c r="AV82" s="23">
        <f>SUMIF(Calculs!$A$2:$A$33,AU82,Calculs!$B$2:$B$33)</f>
        <v>0</v>
      </c>
      <c r="AW82" s="23">
        <f xml:space="preserve"> IF(K82&lt;&gt;"",IF(LEFT(K82,1)="S", Calculs!$B$49,0),0)</f>
        <v>0</v>
      </c>
      <c r="AX82" s="23">
        <f xml:space="preserve"> IF(L82&lt;&gt;"",IF(LEFT(L82,1)="S", Calculs!$B$47,0),0)</f>
        <v>0</v>
      </c>
      <c r="AY82" s="23">
        <f xml:space="preserve"> IF(M82&lt;&gt;"",IF(LEFT(M82,1)="S", Calculs!$B$48,0),0)</f>
        <v>0</v>
      </c>
      <c r="AZ82" s="29" t="str">
        <f t="shared" si="32"/>
        <v/>
      </c>
      <c r="BA82" s="29">
        <f>SUMIF(Calculs!$A$2:$A$33,AZ82,Calculs!$B$2:$B$33)</f>
        <v>0</v>
      </c>
      <c r="BB82" s="23">
        <f xml:space="preserve"> IF(Q82&lt;&gt;"",IF(LEFT(Q82,1)="S", Calculs!$B$48,0),0)</f>
        <v>0</v>
      </c>
      <c r="BC82" s="23">
        <f xml:space="preserve"> IF(R82&lt;&gt;"",IF(LEFT(R82,1)="S", Calculs!$B$47,0),0)</f>
        <v>0</v>
      </c>
      <c r="BD82" s="23">
        <f>SUMIF(Calculs!$A$40:$A$43,LEFT(S82,2),Calculs!$B$40:$B$43)</f>
        <v>0</v>
      </c>
      <c r="BE82" s="23">
        <f xml:space="preserve"> IF(U82&lt;&gt;"",IF(LEFT(U82,3)="ETT", Calculs!$B$36,0),0)</f>
        <v>0</v>
      </c>
      <c r="BF82" s="23">
        <f xml:space="preserve"> IF(V82&lt;&gt;"",IF(LEFT(V82,1)="S", Calculs!$B$47,0),0)</f>
        <v>0</v>
      </c>
      <c r="BG82" s="23">
        <f xml:space="preserve"> IF(W82&lt;&gt;"",IF(LEFT(W82,1)="S", Calculs!$B$48,0),0)</f>
        <v>0</v>
      </c>
      <c r="BH82" s="29" t="str">
        <f t="shared" si="33"/>
        <v/>
      </c>
      <c r="BI82" s="23">
        <f>SUMIF(Calculs!$A$32:$A$35,BH82,Calculs!$B$32:$B$35)</f>
        <v>0</v>
      </c>
      <c r="BJ82" s="185" t="str">
        <f t="shared" si="37"/>
        <v>N</v>
      </c>
      <c r="BK82" s="23">
        <f t="shared" si="38"/>
        <v>0</v>
      </c>
      <c r="BL82" s="23">
        <f>IF(AND(AR82&lt;&gt;0,BJ82="S"),VLOOKUP(AR82,Calculs!$A$53:$B$58,2,FALSE), 0)</f>
        <v>0</v>
      </c>
      <c r="BM82" s="16">
        <f t="shared" si="39"/>
        <v>0</v>
      </c>
    </row>
    <row r="83" spans="2:65" ht="13.8">
      <c r="B83" s="187"/>
      <c r="H83" s="12"/>
      <c r="I83" s="34"/>
      <c r="J83" s="34"/>
      <c r="K83" s="34"/>
      <c r="L83" s="34"/>
      <c r="M83" s="34"/>
      <c r="N83" s="34"/>
      <c r="O83" s="34"/>
      <c r="P83" s="34"/>
      <c r="Q83" s="34"/>
      <c r="R83" s="34"/>
      <c r="S83" s="34"/>
      <c r="T83" s="138"/>
      <c r="U83" s="186"/>
      <c r="V83" s="186"/>
      <c r="W83" s="186"/>
      <c r="AA83" s="138"/>
      <c r="AB83" s="138"/>
      <c r="AC83" s="138"/>
      <c r="AD83" s="139"/>
      <c r="AE83" s="140"/>
      <c r="AF83" s="141"/>
      <c r="AG83" s="141"/>
      <c r="AH83" s="141"/>
      <c r="AI83" s="142"/>
      <c r="AJ83" s="142"/>
      <c r="AK83" s="142"/>
      <c r="AL83" s="142"/>
      <c r="AM83" s="197"/>
      <c r="AN83" s="19"/>
      <c r="AO83" s="16" t="str">
        <f t="shared" si="34"/>
        <v/>
      </c>
      <c r="AP83" s="17" t="e">
        <f t="shared" si="35"/>
        <v>#N/A</v>
      </c>
      <c r="AQ83" s="25" t="str">
        <f t="shared" si="29"/>
        <v/>
      </c>
      <c r="AR83" s="32">
        <f t="shared" si="30"/>
        <v>0</v>
      </c>
      <c r="AS83" s="32">
        <f xml:space="preserve"> COUNTIF($B$11:B83,B83)</f>
        <v>0</v>
      </c>
      <c r="AT83" s="32" t="str">
        <f t="shared" si="36"/>
        <v>01N</v>
      </c>
      <c r="AU83" s="22" t="str">
        <f t="shared" si="31"/>
        <v/>
      </c>
      <c r="AV83" s="23">
        <f>SUMIF(Calculs!$A$2:$A$33,AU83,Calculs!$B$2:$B$33)</f>
        <v>0</v>
      </c>
      <c r="AW83" s="23">
        <f xml:space="preserve"> IF(K83&lt;&gt;"",IF(LEFT(K83,1)="S", Calculs!$B$49,0),0)</f>
        <v>0</v>
      </c>
      <c r="AX83" s="23">
        <f xml:space="preserve"> IF(L83&lt;&gt;"",IF(LEFT(L83,1)="S", Calculs!$B$47,0),0)</f>
        <v>0</v>
      </c>
      <c r="AY83" s="23">
        <f xml:space="preserve"> IF(M83&lt;&gt;"",IF(LEFT(M83,1)="S", Calculs!$B$48,0),0)</f>
        <v>0</v>
      </c>
      <c r="AZ83" s="29" t="str">
        <f t="shared" si="32"/>
        <v/>
      </c>
      <c r="BA83" s="29">
        <f>SUMIF(Calculs!$A$2:$A$33,AZ83,Calculs!$B$2:$B$33)</f>
        <v>0</v>
      </c>
      <c r="BB83" s="23">
        <f xml:space="preserve"> IF(Q83&lt;&gt;"",IF(LEFT(Q83,1)="S", Calculs!$B$48,0),0)</f>
        <v>0</v>
      </c>
      <c r="BC83" s="23">
        <f xml:space="preserve"> IF(R83&lt;&gt;"",IF(LEFT(R83,1)="S", Calculs!$B$47,0),0)</f>
        <v>0</v>
      </c>
      <c r="BD83" s="23">
        <f>SUMIF(Calculs!$A$40:$A$43,LEFT(S83,2),Calculs!$B$40:$B$43)</f>
        <v>0</v>
      </c>
      <c r="BE83" s="23">
        <f xml:space="preserve"> IF(U83&lt;&gt;"",IF(LEFT(U83,3)="ETT", Calculs!$B$36,0),0)</f>
        <v>0</v>
      </c>
      <c r="BF83" s="23">
        <f xml:space="preserve"> IF(V83&lt;&gt;"",IF(LEFT(V83,1)="S", Calculs!$B$47,0),0)</f>
        <v>0</v>
      </c>
      <c r="BG83" s="23">
        <f xml:space="preserve"> IF(W83&lt;&gt;"",IF(LEFT(W83,1)="S", Calculs!$B$48,0),0)</f>
        <v>0</v>
      </c>
      <c r="BH83" s="29" t="str">
        <f t="shared" si="33"/>
        <v/>
      </c>
      <c r="BI83" s="23">
        <f>SUMIF(Calculs!$A$32:$A$35,BH83,Calculs!$B$32:$B$35)</f>
        <v>0</v>
      </c>
      <c r="BJ83" s="185" t="str">
        <f t="shared" si="37"/>
        <v>N</v>
      </c>
      <c r="BK83" s="23">
        <f t="shared" si="38"/>
        <v>0</v>
      </c>
      <c r="BL83" s="23">
        <f>IF(AND(AR83&lt;&gt;0,BJ83="S"),VLOOKUP(AR83,Calculs!$A$53:$B$58,2,FALSE), 0)</f>
        <v>0</v>
      </c>
      <c r="BM83" s="16">
        <f t="shared" si="39"/>
        <v>0</v>
      </c>
    </row>
    <row r="84" spans="2:65" ht="13.8">
      <c r="B84" s="187"/>
      <c r="H84" s="12"/>
      <c r="I84" s="34"/>
      <c r="J84" s="34"/>
      <c r="K84" s="34"/>
      <c r="L84" s="34"/>
      <c r="M84" s="34"/>
      <c r="N84" s="34"/>
      <c r="O84" s="34"/>
      <c r="P84" s="34"/>
      <c r="Q84" s="34"/>
      <c r="R84" s="34"/>
      <c r="S84" s="34"/>
      <c r="T84" s="138"/>
      <c r="U84" s="186"/>
      <c r="V84" s="186"/>
      <c r="W84" s="186"/>
      <c r="AA84" s="138"/>
      <c r="AB84" s="138"/>
      <c r="AC84" s="138"/>
      <c r="AD84" s="139"/>
      <c r="AE84" s="140"/>
      <c r="AF84" s="141"/>
      <c r="AG84" s="141"/>
      <c r="AH84" s="141"/>
      <c r="AI84" s="142"/>
      <c r="AJ84" s="142"/>
      <c r="AK84" s="142"/>
      <c r="AL84" s="142"/>
      <c r="AM84" s="197"/>
      <c r="AN84" s="19"/>
      <c r="AO84" s="16" t="str">
        <f t="shared" si="34"/>
        <v/>
      </c>
      <c r="AP84" s="17" t="e">
        <f t="shared" si="35"/>
        <v>#N/A</v>
      </c>
      <c r="AQ84" s="25" t="str">
        <f t="shared" si="29"/>
        <v/>
      </c>
      <c r="AR84" s="32">
        <f t="shared" si="30"/>
        <v>0</v>
      </c>
      <c r="AS84" s="32">
        <f xml:space="preserve"> COUNTIF($B$11:B84,B84)</f>
        <v>0</v>
      </c>
      <c r="AT84" s="32" t="str">
        <f t="shared" si="36"/>
        <v>01N</v>
      </c>
      <c r="AU84" s="22" t="str">
        <f t="shared" si="31"/>
        <v/>
      </c>
      <c r="AV84" s="23">
        <f>SUMIF(Calculs!$A$2:$A$33,AU84,Calculs!$B$2:$B$33)</f>
        <v>0</v>
      </c>
      <c r="AW84" s="23">
        <f xml:space="preserve"> IF(K84&lt;&gt;"",IF(LEFT(K84,1)="S", Calculs!$B$49,0),0)</f>
        <v>0</v>
      </c>
      <c r="AX84" s="23">
        <f xml:space="preserve"> IF(L84&lt;&gt;"",IF(LEFT(L84,1)="S", Calculs!$B$47,0),0)</f>
        <v>0</v>
      </c>
      <c r="AY84" s="23">
        <f xml:space="preserve"> IF(M84&lt;&gt;"",IF(LEFT(M84,1)="S", Calculs!$B$48,0),0)</f>
        <v>0</v>
      </c>
      <c r="AZ84" s="29" t="str">
        <f t="shared" si="32"/>
        <v/>
      </c>
      <c r="BA84" s="29">
        <f>SUMIF(Calculs!$A$2:$A$33,AZ84,Calculs!$B$2:$B$33)</f>
        <v>0</v>
      </c>
      <c r="BB84" s="23">
        <f xml:space="preserve"> IF(Q84&lt;&gt;"",IF(LEFT(Q84,1)="S", Calculs!$B$48,0),0)</f>
        <v>0</v>
      </c>
      <c r="BC84" s="23">
        <f xml:space="preserve"> IF(R84&lt;&gt;"",IF(LEFT(R84,1)="S", Calculs!$B$47,0),0)</f>
        <v>0</v>
      </c>
      <c r="BD84" s="23">
        <f>SUMIF(Calculs!$A$40:$A$43,LEFT(S84,2),Calculs!$B$40:$B$43)</f>
        <v>0</v>
      </c>
      <c r="BE84" s="23">
        <f xml:space="preserve"> IF(U84&lt;&gt;"",IF(LEFT(U84,3)="ETT", Calculs!$B$36,0),0)</f>
        <v>0</v>
      </c>
      <c r="BF84" s="23">
        <f xml:space="preserve"> IF(V84&lt;&gt;"",IF(LEFT(V84,1)="S", Calculs!$B$47,0),0)</f>
        <v>0</v>
      </c>
      <c r="BG84" s="23">
        <f xml:space="preserve"> IF(W84&lt;&gt;"",IF(LEFT(W84,1)="S", Calculs!$B$48,0),0)</f>
        <v>0</v>
      </c>
      <c r="BH84" s="29" t="str">
        <f t="shared" si="33"/>
        <v/>
      </c>
      <c r="BI84" s="23">
        <f>SUMIF(Calculs!$A$32:$A$35,BH84,Calculs!$B$32:$B$35)</f>
        <v>0</v>
      </c>
      <c r="BJ84" s="185" t="str">
        <f t="shared" si="37"/>
        <v>N</v>
      </c>
      <c r="BK84" s="23">
        <f t="shared" si="38"/>
        <v>0</v>
      </c>
      <c r="BL84" s="23">
        <f>IF(AND(AR84&lt;&gt;0,BJ84="S"),VLOOKUP(AR84,Calculs!$A$53:$B$58,2,FALSE), 0)</f>
        <v>0</v>
      </c>
      <c r="BM84" s="16">
        <f t="shared" si="39"/>
        <v>0</v>
      </c>
    </row>
    <row r="85" spans="2:65" ht="13.8">
      <c r="B85" s="187"/>
      <c r="H85" s="12"/>
      <c r="I85" s="34"/>
      <c r="J85" s="34"/>
      <c r="K85" s="34"/>
      <c r="L85" s="34"/>
      <c r="M85" s="34"/>
      <c r="N85" s="34"/>
      <c r="O85" s="34"/>
      <c r="P85" s="34"/>
      <c r="Q85" s="34"/>
      <c r="R85" s="34"/>
      <c r="S85" s="34"/>
      <c r="T85" s="138"/>
      <c r="U85" s="186"/>
      <c r="V85" s="186"/>
      <c r="W85" s="186"/>
      <c r="AA85" s="138"/>
      <c r="AB85" s="138"/>
      <c r="AC85" s="138"/>
      <c r="AD85" s="139"/>
      <c r="AE85" s="140"/>
      <c r="AF85" s="141"/>
      <c r="AG85" s="141"/>
      <c r="AH85" s="141"/>
      <c r="AI85" s="142"/>
      <c r="AJ85" s="142"/>
      <c r="AK85" s="142"/>
      <c r="AL85" s="142"/>
      <c r="AM85" s="197"/>
      <c r="AN85" s="19"/>
      <c r="AO85" s="16" t="str">
        <f t="shared" si="34"/>
        <v/>
      </c>
      <c r="AP85" s="17" t="e">
        <f t="shared" si="35"/>
        <v>#N/A</v>
      </c>
      <c r="AQ85" s="25" t="str">
        <f t="shared" si="29"/>
        <v/>
      </c>
      <c r="AR85" s="32">
        <f t="shared" si="30"/>
        <v>0</v>
      </c>
      <c r="AS85" s="32">
        <f xml:space="preserve"> COUNTIF($B$11:B85,B85)</f>
        <v>0</v>
      </c>
      <c r="AT85" s="32" t="str">
        <f t="shared" si="36"/>
        <v>01N</v>
      </c>
      <c r="AU85" s="22" t="str">
        <f t="shared" si="31"/>
        <v/>
      </c>
      <c r="AV85" s="23">
        <f>SUMIF(Calculs!$A$2:$A$33,AU85,Calculs!$B$2:$B$33)</f>
        <v>0</v>
      </c>
      <c r="AW85" s="23">
        <f xml:space="preserve"> IF(K85&lt;&gt;"",IF(LEFT(K85,1)="S", Calculs!$B$49,0),0)</f>
        <v>0</v>
      </c>
      <c r="AX85" s="23">
        <f xml:space="preserve"> IF(L85&lt;&gt;"",IF(LEFT(L85,1)="S", Calculs!$B$47,0),0)</f>
        <v>0</v>
      </c>
      <c r="AY85" s="23">
        <f xml:space="preserve"> IF(M85&lt;&gt;"",IF(LEFT(M85,1)="S", Calculs!$B$48,0),0)</f>
        <v>0</v>
      </c>
      <c r="AZ85" s="29" t="str">
        <f t="shared" si="32"/>
        <v/>
      </c>
      <c r="BA85" s="29">
        <f>SUMIF(Calculs!$A$2:$A$33,AZ85,Calculs!$B$2:$B$33)</f>
        <v>0</v>
      </c>
      <c r="BB85" s="23">
        <f xml:space="preserve"> IF(Q85&lt;&gt;"",IF(LEFT(Q85,1)="S", Calculs!$B$48,0),0)</f>
        <v>0</v>
      </c>
      <c r="BC85" s="23">
        <f xml:space="preserve"> IF(R85&lt;&gt;"",IF(LEFT(R85,1)="S", Calculs!$B$47,0),0)</f>
        <v>0</v>
      </c>
      <c r="BD85" s="23">
        <f>SUMIF(Calculs!$A$40:$A$43,LEFT(S85,2),Calculs!$B$40:$B$43)</f>
        <v>0</v>
      </c>
      <c r="BE85" s="23">
        <f xml:space="preserve"> IF(U85&lt;&gt;"",IF(LEFT(U85,3)="ETT", Calculs!$B$36,0),0)</f>
        <v>0</v>
      </c>
      <c r="BF85" s="23">
        <f xml:space="preserve"> IF(V85&lt;&gt;"",IF(LEFT(V85,1)="S", Calculs!$B$47,0),0)</f>
        <v>0</v>
      </c>
      <c r="BG85" s="23">
        <f xml:space="preserve"> IF(W85&lt;&gt;"",IF(LEFT(W85,1)="S", Calculs!$B$48,0),0)</f>
        <v>0</v>
      </c>
      <c r="BH85" s="29" t="str">
        <f t="shared" si="33"/>
        <v/>
      </c>
      <c r="BI85" s="23">
        <f>SUMIF(Calculs!$A$32:$A$35,BH85,Calculs!$B$32:$B$35)</f>
        <v>0</v>
      </c>
      <c r="BJ85" s="185" t="str">
        <f t="shared" si="37"/>
        <v>N</v>
      </c>
      <c r="BK85" s="23">
        <f t="shared" si="38"/>
        <v>0</v>
      </c>
      <c r="BL85" s="23">
        <f>IF(AND(AR85&lt;&gt;0,BJ85="S"),VLOOKUP(AR85,Calculs!$A$53:$B$58,2,FALSE), 0)</f>
        <v>0</v>
      </c>
      <c r="BM85" s="16">
        <f t="shared" si="39"/>
        <v>0</v>
      </c>
    </row>
    <row r="86" spans="2:65" ht="13.8">
      <c r="B86" s="187"/>
      <c r="H86" s="12"/>
      <c r="I86" s="34"/>
      <c r="J86" s="34"/>
      <c r="K86" s="34"/>
      <c r="L86" s="34"/>
      <c r="M86" s="34"/>
      <c r="N86" s="34"/>
      <c r="O86" s="34"/>
      <c r="P86" s="34"/>
      <c r="Q86" s="34"/>
      <c r="R86" s="34"/>
      <c r="S86" s="34"/>
      <c r="T86" s="138"/>
      <c r="U86" s="186"/>
      <c r="V86" s="186"/>
      <c r="W86" s="186"/>
      <c r="AA86" s="138"/>
      <c r="AB86" s="138"/>
      <c r="AC86" s="138"/>
      <c r="AD86" s="139"/>
      <c r="AE86" s="140"/>
      <c r="AF86" s="141"/>
      <c r="AG86" s="141"/>
      <c r="AH86" s="141"/>
      <c r="AI86" s="142"/>
      <c r="AJ86" s="142"/>
      <c r="AK86" s="142"/>
      <c r="AL86" s="142"/>
      <c r="AM86" s="197"/>
      <c r="AN86" s="19"/>
      <c r="AO86" s="16" t="str">
        <f t="shared" si="34"/>
        <v/>
      </c>
      <c r="AP86" s="17" t="e">
        <f t="shared" si="35"/>
        <v>#N/A</v>
      </c>
      <c r="AQ86" s="25" t="str">
        <f t="shared" si="29"/>
        <v/>
      </c>
      <c r="AR86" s="32">
        <f t="shared" si="30"/>
        <v>0</v>
      </c>
      <c r="AS86" s="32">
        <f xml:space="preserve"> COUNTIF($B$11:B86,B86)</f>
        <v>0</v>
      </c>
      <c r="AT86" s="32" t="str">
        <f t="shared" si="36"/>
        <v>01N</v>
      </c>
      <c r="AU86" s="22" t="str">
        <f t="shared" si="31"/>
        <v/>
      </c>
      <c r="AV86" s="23">
        <f>SUMIF(Calculs!$A$2:$A$33,AU86,Calculs!$B$2:$B$33)</f>
        <v>0</v>
      </c>
      <c r="AW86" s="23">
        <f xml:space="preserve"> IF(K86&lt;&gt;"",IF(LEFT(K86,1)="S", Calculs!$B$49,0),0)</f>
        <v>0</v>
      </c>
      <c r="AX86" s="23">
        <f xml:space="preserve"> IF(L86&lt;&gt;"",IF(LEFT(L86,1)="S", Calculs!$B$47,0),0)</f>
        <v>0</v>
      </c>
      <c r="AY86" s="23">
        <f xml:space="preserve"> IF(M86&lt;&gt;"",IF(LEFT(M86,1)="S", Calculs!$B$48,0),0)</f>
        <v>0</v>
      </c>
      <c r="AZ86" s="29" t="str">
        <f t="shared" si="32"/>
        <v/>
      </c>
      <c r="BA86" s="29">
        <f>SUMIF(Calculs!$A$2:$A$33,AZ86,Calculs!$B$2:$B$33)</f>
        <v>0</v>
      </c>
      <c r="BB86" s="23">
        <f xml:space="preserve"> IF(Q86&lt;&gt;"",IF(LEFT(Q86,1)="S", Calculs!$B$48,0),0)</f>
        <v>0</v>
      </c>
      <c r="BC86" s="23">
        <f xml:space="preserve"> IF(R86&lt;&gt;"",IF(LEFT(R86,1)="S", Calculs!$B$47,0),0)</f>
        <v>0</v>
      </c>
      <c r="BD86" s="23">
        <f>SUMIF(Calculs!$A$40:$A$43,LEFT(S86,2),Calculs!$B$40:$B$43)</f>
        <v>0</v>
      </c>
      <c r="BE86" s="23">
        <f xml:space="preserve"> IF(U86&lt;&gt;"",IF(LEFT(U86,3)="ETT", Calculs!$B$36,0),0)</f>
        <v>0</v>
      </c>
      <c r="BF86" s="23">
        <f xml:space="preserve"> IF(V86&lt;&gt;"",IF(LEFT(V86,1)="S", Calculs!$B$47,0),0)</f>
        <v>0</v>
      </c>
      <c r="BG86" s="23">
        <f xml:space="preserve"> IF(W86&lt;&gt;"",IF(LEFT(W86,1)="S", Calculs!$B$48,0),0)</f>
        <v>0</v>
      </c>
      <c r="BH86" s="29" t="str">
        <f t="shared" si="33"/>
        <v/>
      </c>
      <c r="BI86" s="23">
        <f>SUMIF(Calculs!$A$32:$A$35,BH86,Calculs!$B$32:$B$35)</f>
        <v>0</v>
      </c>
      <c r="BJ86" s="185" t="str">
        <f t="shared" si="37"/>
        <v>N</v>
      </c>
      <c r="BK86" s="23">
        <f t="shared" si="38"/>
        <v>0</v>
      </c>
      <c r="BL86" s="23">
        <f>IF(AND(AR86&lt;&gt;0,BJ86="S"),VLOOKUP(AR86,Calculs!$A$53:$B$58,2,FALSE), 0)</f>
        <v>0</v>
      </c>
      <c r="BM86" s="16">
        <f t="shared" si="39"/>
        <v>0</v>
      </c>
    </row>
    <row r="87" spans="2:65" ht="13.8">
      <c r="B87" s="187"/>
      <c r="H87" s="12"/>
      <c r="I87" s="34"/>
      <c r="J87" s="34"/>
      <c r="K87" s="34"/>
      <c r="L87" s="34"/>
      <c r="M87" s="34"/>
      <c r="N87" s="34"/>
      <c r="O87" s="34"/>
      <c r="P87" s="34"/>
      <c r="Q87" s="34"/>
      <c r="R87" s="34"/>
      <c r="S87" s="34"/>
      <c r="T87" s="138"/>
      <c r="U87" s="186"/>
      <c r="V87" s="186"/>
      <c r="W87" s="186"/>
      <c r="AA87" s="138"/>
      <c r="AB87" s="138"/>
      <c r="AC87" s="138"/>
      <c r="AD87" s="139"/>
      <c r="AE87" s="140"/>
      <c r="AF87" s="141"/>
      <c r="AG87" s="141"/>
      <c r="AH87" s="141"/>
      <c r="AI87" s="142"/>
      <c r="AJ87" s="142"/>
      <c r="AK87" s="142"/>
      <c r="AL87" s="142"/>
      <c r="AM87" s="197"/>
      <c r="AN87" s="19"/>
      <c r="AO87" s="16" t="str">
        <f t="shared" si="34"/>
        <v/>
      </c>
      <c r="AP87" s="17" t="e">
        <f t="shared" si="35"/>
        <v>#N/A</v>
      </c>
      <c r="AQ87" s="25" t="str">
        <f t="shared" si="29"/>
        <v/>
      </c>
      <c r="AR87" s="32">
        <f t="shared" si="30"/>
        <v>0</v>
      </c>
      <c r="AS87" s="32">
        <f xml:space="preserve"> COUNTIF($B$11:B87,B87)</f>
        <v>0</v>
      </c>
      <c r="AT87" s="32" t="str">
        <f t="shared" si="36"/>
        <v>01N</v>
      </c>
      <c r="AU87" s="22" t="str">
        <f t="shared" si="31"/>
        <v/>
      </c>
      <c r="AV87" s="23">
        <f>SUMIF(Calculs!$A$2:$A$33,AU87,Calculs!$B$2:$B$33)</f>
        <v>0</v>
      </c>
      <c r="AW87" s="23">
        <f xml:space="preserve"> IF(K87&lt;&gt;"",IF(LEFT(K87,1)="S", Calculs!$B$49,0),0)</f>
        <v>0</v>
      </c>
      <c r="AX87" s="23">
        <f xml:space="preserve"> IF(L87&lt;&gt;"",IF(LEFT(L87,1)="S", Calculs!$B$47,0),0)</f>
        <v>0</v>
      </c>
      <c r="AY87" s="23">
        <f xml:space="preserve"> IF(M87&lt;&gt;"",IF(LEFT(M87,1)="S", Calculs!$B$48,0),0)</f>
        <v>0</v>
      </c>
      <c r="AZ87" s="29" t="str">
        <f t="shared" si="32"/>
        <v/>
      </c>
      <c r="BA87" s="29">
        <f>SUMIF(Calculs!$A$2:$A$33,AZ87,Calculs!$B$2:$B$33)</f>
        <v>0</v>
      </c>
      <c r="BB87" s="23">
        <f xml:space="preserve"> IF(Q87&lt;&gt;"",IF(LEFT(Q87,1)="S", Calculs!$B$48,0),0)</f>
        <v>0</v>
      </c>
      <c r="BC87" s="23">
        <f xml:space="preserve"> IF(R87&lt;&gt;"",IF(LEFT(R87,1)="S", Calculs!$B$47,0),0)</f>
        <v>0</v>
      </c>
      <c r="BD87" s="23">
        <f>SUMIF(Calculs!$A$40:$A$43,LEFT(S87,2),Calculs!$B$40:$B$43)</f>
        <v>0</v>
      </c>
      <c r="BE87" s="23">
        <f xml:space="preserve"> IF(U87&lt;&gt;"",IF(LEFT(U87,3)="ETT", Calculs!$B$36,0),0)</f>
        <v>0</v>
      </c>
      <c r="BF87" s="23">
        <f xml:space="preserve"> IF(V87&lt;&gt;"",IF(LEFT(V87,1)="S", Calculs!$B$47,0),0)</f>
        <v>0</v>
      </c>
      <c r="BG87" s="23">
        <f xml:space="preserve"> IF(W87&lt;&gt;"",IF(LEFT(W87,1)="S", Calculs!$B$48,0),0)</f>
        <v>0</v>
      </c>
      <c r="BH87" s="29" t="str">
        <f t="shared" si="33"/>
        <v/>
      </c>
      <c r="BI87" s="23">
        <f>SUMIF(Calculs!$A$32:$A$35,BH87,Calculs!$B$32:$B$35)</f>
        <v>0</v>
      </c>
      <c r="BJ87" s="185" t="str">
        <f t="shared" si="37"/>
        <v>N</v>
      </c>
      <c r="BK87" s="23">
        <f t="shared" si="38"/>
        <v>0</v>
      </c>
      <c r="BL87" s="23">
        <f>IF(AND(AR87&lt;&gt;0,BJ87="S"),VLOOKUP(AR87,Calculs!$A$53:$B$58,2,FALSE), 0)</f>
        <v>0</v>
      </c>
      <c r="BM87" s="16">
        <f t="shared" si="39"/>
        <v>0</v>
      </c>
    </row>
    <row r="88" spans="2:65" ht="13.8">
      <c r="B88" s="187"/>
      <c r="H88" s="12"/>
      <c r="I88" s="34"/>
      <c r="J88" s="34"/>
      <c r="K88" s="34"/>
      <c r="L88" s="34"/>
      <c r="M88" s="34"/>
      <c r="N88" s="34"/>
      <c r="O88" s="34"/>
      <c r="P88" s="34"/>
      <c r="Q88" s="34"/>
      <c r="R88" s="34"/>
      <c r="S88" s="34"/>
      <c r="T88" s="138"/>
      <c r="U88" s="186"/>
      <c r="V88" s="186"/>
      <c r="W88" s="186"/>
      <c r="AA88" s="138"/>
      <c r="AB88" s="138"/>
      <c r="AC88" s="138"/>
      <c r="AD88" s="139"/>
      <c r="AE88" s="140"/>
      <c r="AF88" s="141"/>
      <c r="AG88" s="141"/>
      <c r="AH88" s="141"/>
      <c r="AI88" s="142"/>
      <c r="AJ88" s="142"/>
      <c r="AK88" s="142"/>
      <c r="AL88" s="142"/>
      <c r="AM88" s="197"/>
      <c r="AN88" s="19"/>
      <c r="AO88" s="16" t="str">
        <f t="shared" si="34"/>
        <v/>
      </c>
      <c r="AP88" s="17" t="e">
        <f t="shared" si="35"/>
        <v>#N/A</v>
      </c>
      <c r="AQ88" s="25" t="str">
        <f t="shared" si="29"/>
        <v/>
      </c>
      <c r="AR88" s="32">
        <f t="shared" si="30"/>
        <v>0</v>
      </c>
      <c r="AS88" s="32">
        <f xml:space="preserve"> COUNTIF($B$11:B88,B88)</f>
        <v>0</v>
      </c>
      <c r="AT88" s="32" t="str">
        <f t="shared" si="36"/>
        <v>01N</v>
      </c>
      <c r="AU88" s="22" t="str">
        <f t="shared" si="31"/>
        <v/>
      </c>
      <c r="AV88" s="23">
        <f>SUMIF(Calculs!$A$2:$A$33,AU88,Calculs!$B$2:$B$33)</f>
        <v>0</v>
      </c>
      <c r="AW88" s="23">
        <f xml:space="preserve"> IF(K88&lt;&gt;"",IF(LEFT(K88,1)="S", Calculs!$B$49,0),0)</f>
        <v>0</v>
      </c>
      <c r="AX88" s="23">
        <f xml:space="preserve"> IF(L88&lt;&gt;"",IF(LEFT(L88,1)="S", Calculs!$B$47,0),0)</f>
        <v>0</v>
      </c>
      <c r="AY88" s="23">
        <f xml:space="preserve"> IF(M88&lt;&gt;"",IF(LEFT(M88,1)="S", Calculs!$B$48,0),0)</f>
        <v>0</v>
      </c>
      <c r="AZ88" s="29" t="str">
        <f t="shared" si="32"/>
        <v/>
      </c>
      <c r="BA88" s="29">
        <f>SUMIF(Calculs!$A$2:$A$33,AZ88,Calculs!$B$2:$B$33)</f>
        <v>0</v>
      </c>
      <c r="BB88" s="23">
        <f xml:space="preserve"> IF(Q88&lt;&gt;"",IF(LEFT(Q88,1)="S", Calculs!$B$48,0),0)</f>
        <v>0</v>
      </c>
      <c r="BC88" s="23">
        <f xml:space="preserve"> IF(R88&lt;&gt;"",IF(LEFT(R88,1)="S", Calculs!$B$47,0),0)</f>
        <v>0</v>
      </c>
      <c r="BD88" s="23">
        <f>SUMIF(Calculs!$A$40:$A$43,LEFT(S88,2),Calculs!$B$40:$B$43)</f>
        <v>0</v>
      </c>
      <c r="BE88" s="23">
        <f xml:space="preserve"> IF(U88&lt;&gt;"",IF(LEFT(U88,3)="ETT", Calculs!$B$36,0),0)</f>
        <v>0</v>
      </c>
      <c r="BF88" s="23">
        <f xml:space="preserve"> IF(V88&lt;&gt;"",IF(LEFT(V88,1)="S", Calculs!$B$47,0),0)</f>
        <v>0</v>
      </c>
      <c r="BG88" s="23">
        <f xml:space="preserve"> IF(W88&lt;&gt;"",IF(LEFT(W88,1)="S", Calculs!$B$48,0),0)</f>
        <v>0</v>
      </c>
      <c r="BH88" s="29" t="str">
        <f t="shared" si="33"/>
        <v/>
      </c>
      <c r="BI88" s="23">
        <f>SUMIF(Calculs!$A$32:$A$35,BH88,Calculs!$B$32:$B$35)</f>
        <v>0</v>
      </c>
      <c r="BJ88" s="185" t="str">
        <f t="shared" si="37"/>
        <v>N</v>
      </c>
      <c r="BK88" s="23">
        <f t="shared" si="38"/>
        <v>0</v>
      </c>
      <c r="BL88" s="23">
        <f>IF(AND(AR88&lt;&gt;0,BJ88="S"),VLOOKUP(AR88,Calculs!$A$53:$B$58,2,FALSE), 0)</f>
        <v>0</v>
      </c>
      <c r="BM88" s="16">
        <f t="shared" si="39"/>
        <v>0</v>
      </c>
    </row>
    <row r="89" spans="2:65" ht="13.8">
      <c r="B89" s="187"/>
      <c r="H89" s="12"/>
      <c r="I89" s="34"/>
      <c r="J89" s="34"/>
      <c r="K89" s="34"/>
      <c r="L89" s="34"/>
      <c r="M89" s="34"/>
      <c r="N89" s="34"/>
      <c r="O89" s="34"/>
      <c r="P89" s="34"/>
      <c r="Q89" s="34"/>
      <c r="R89" s="34"/>
      <c r="S89" s="34"/>
      <c r="T89" s="138"/>
      <c r="U89" s="186"/>
      <c r="V89" s="186"/>
      <c r="W89" s="186"/>
      <c r="AA89" s="138"/>
      <c r="AB89" s="138"/>
      <c r="AC89" s="138"/>
      <c r="AD89" s="139"/>
      <c r="AE89" s="140"/>
      <c r="AF89" s="141"/>
      <c r="AG89" s="141"/>
      <c r="AH89" s="141"/>
      <c r="AI89" s="142"/>
      <c r="AJ89" s="142"/>
      <c r="AK89" s="142"/>
      <c r="AL89" s="142"/>
      <c r="AM89" s="197"/>
      <c r="AN89" s="19"/>
      <c r="AO89" s="16" t="str">
        <f t="shared" si="34"/>
        <v/>
      </c>
      <c r="AP89" s="17" t="e">
        <f t="shared" si="35"/>
        <v>#N/A</v>
      </c>
      <c r="AQ89" s="25" t="str">
        <f t="shared" si="29"/>
        <v/>
      </c>
      <c r="AR89" s="32">
        <f t="shared" si="30"/>
        <v>0</v>
      </c>
      <c r="AS89" s="32">
        <f xml:space="preserve"> COUNTIF($B$11:B89,B89)</f>
        <v>0</v>
      </c>
      <c r="AT89" s="32" t="str">
        <f t="shared" si="36"/>
        <v>01N</v>
      </c>
      <c r="AU89" s="22" t="str">
        <f t="shared" si="31"/>
        <v/>
      </c>
      <c r="AV89" s="23">
        <f>SUMIF(Calculs!$A$2:$A$33,AU89,Calculs!$B$2:$B$33)</f>
        <v>0</v>
      </c>
      <c r="AW89" s="23">
        <f xml:space="preserve"> IF(K89&lt;&gt;"",IF(LEFT(K89,1)="S", Calculs!$B$49,0),0)</f>
        <v>0</v>
      </c>
      <c r="AX89" s="23">
        <f xml:space="preserve"> IF(L89&lt;&gt;"",IF(LEFT(L89,1)="S", Calculs!$B$47,0),0)</f>
        <v>0</v>
      </c>
      <c r="AY89" s="23">
        <f xml:space="preserve"> IF(M89&lt;&gt;"",IF(LEFT(M89,1)="S", Calculs!$B$48,0),0)</f>
        <v>0</v>
      </c>
      <c r="AZ89" s="29" t="str">
        <f t="shared" si="32"/>
        <v/>
      </c>
      <c r="BA89" s="29">
        <f>SUMIF(Calculs!$A$2:$A$33,AZ89,Calculs!$B$2:$B$33)</f>
        <v>0</v>
      </c>
      <c r="BB89" s="23">
        <f xml:space="preserve"> IF(Q89&lt;&gt;"",IF(LEFT(Q89,1)="S", Calculs!$B$48,0),0)</f>
        <v>0</v>
      </c>
      <c r="BC89" s="23">
        <f xml:space="preserve"> IF(R89&lt;&gt;"",IF(LEFT(R89,1)="S", Calculs!$B$47,0),0)</f>
        <v>0</v>
      </c>
      <c r="BD89" s="23">
        <f>SUMIF(Calculs!$A$40:$A$43,LEFT(S89,2),Calculs!$B$40:$B$43)</f>
        <v>0</v>
      </c>
      <c r="BE89" s="23">
        <f xml:space="preserve"> IF(U89&lt;&gt;"",IF(LEFT(U89,3)="ETT", Calculs!$B$36,0),0)</f>
        <v>0</v>
      </c>
      <c r="BF89" s="23">
        <f xml:space="preserve"> IF(V89&lt;&gt;"",IF(LEFT(V89,1)="S", Calculs!$B$47,0),0)</f>
        <v>0</v>
      </c>
      <c r="BG89" s="23">
        <f xml:space="preserve"> IF(W89&lt;&gt;"",IF(LEFT(W89,1)="S", Calculs!$B$48,0),0)</f>
        <v>0</v>
      </c>
      <c r="BH89" s="29" t="str">
        <f t="shared" si="33"/>
        <v/>
      </c>
      <c r="BI89" s="23">
        <f>SUMIF(Calculs!$A$32:$A$35,BH89,Calculs!$B$32:$B$35)</f>
        <v>0</v>
      </c>
      <c r="BJ89" s="185" t="str">
        <f t="shared" si="37"/>
        <v>N</v>
      </c>
      <c r="BK89" s="23">
        <f t="shared" si="38"/>
        <v>0</v>
      </c>
      <c r="BL89" s="23">
        <f>IF(AND(AR89&lt;&gt;0,BJ89="S"),VLOOKUP(AR89,Calculs!$A$53:$B$58,2,FALSE), 0)</f>
        <v>0</v>
      </c>
      <c r="BM89" s="16">
        <f t="shared" si="39"/>
        <v>0</v>
      </c>
    </row>
    <row r="90" spans="2:65" ht="13.8">
      <c r="B90" s="187"/>
      <c r="H90" s="12"/>
      <c r="I90" s="34"/>
      <c r="J90" s="34"/>
      <c r="K90" s="34"/>
      <c r="L90" s="34"/>
      <c r="M90" s="34"/>
      <c r="N90" s="34"/>
      <c r="O90" s="34"/>
      <c r="P90" s="34"/>
      <c r="Q90" s="34"/>
      <c r="R90" s="34"/>
      <c r="S90" s="34"/>
      <c r="T90" s="138"/>
      <c r="U90" s="186"/>
      <c r="V90" s="186"/>
      <c r="W90" s="186"/>
      <c r="AA90" s="138"/>
      <c r="AB90" s="138"/>
      <c r="AC90" s="138"/>
      <c r="AD90" s="139"/>
      <c r="AE90" s="140"/>
      <c r="AF90" s="141"/>
      <c r="AG90" s="141"/>
      <c r="AH90" s="141"/>
      <c r="AI90" s="142"/>
      <c r="AJ90" s="142"/>
      <c r="AK90" s="142"/>
      <c r="AL90" s="142"/>
      <c r="AM90" s="197"/>
      <c r="AN90" s="19"/>
      <c r="AO90" s="16" t="str">
        <f t="shared" si="34"/>
        <v/>
      </c>
      <c r="AP90" s="17" t="e">
        <f t="shared" si="35"/>
        <v>#N/A</v>
      </c>
      <c r="AQ90" s="25" t="str">
        <f t="shared" si="29"/>
        <v/>
      </c>
      <c r="AR90" s="32">
        <f t="shared" si="30"/>
        <v>0</v>
      </c>
      <c r="AS90" s="32">
        <f xml:space="preserve"> COUNTIF($B$11:B90,B90)</f>
        <v>0</v>
      </c>
      <c r="AT90" s="32" t="str">
        <f t="shared" si="36"/>
        <v>01N</v>
      </c>
      <c r="AU90" s="22" t="str">
        <f t="shared" si="31"/>
        <v/>
      </c>
      <c r="AV90" s="23">
        <f>SUMIF(Calculs!$A$2:$A$33,AU90,Calculs!$B$2:$B$33)</f>
        <v>0</v>
      </c>
      <c r="AW90" s="23">
        <f xml:space="preserve"> IF(K90&lt;&gt;"",IF(LEFT(K90,1)="S", Calculs!$B$49,0),0)</f>
        <v>0</v>
      </c>
      <c r="AX90" s="23">
        <f xml:space="preserve"> IF(L90&lt;&gt;"",IF(LEFT(L90,1)="S", Calculs!$B$47,0),0)</f>
        <v>0</v>
      </c>
      <c r="AY90" s="23">
        <f xml:space="preserve"> IF(M90&lt;&gt;"",IF(LEFT(M90,1)="S", Calculs!$B$48,0),0)</f>
        <v>0</v>
      </c>
      <c r="AZ90" s="29" t="str">
        <f t="shared" si="32"/>
        <v/>
      </c>
      <c r="BA90" s="29">
        <f>SUMIF(Calculs!$A$2:$A$33,AZ90,Calculs!$B$2:$B$33)</f>
        <v>0</v>
      </c>
      <c r="BB90" s="23">
        <f xml:space="preserve"> IF(Q90&lt;&gt;"",IF(LEFT(Q90,1)="S", Calculs!$B$48,0),0)</f>
        <v>0</v>
      </c>
      <c r="BC90" s="23">
        <f xml:space="preserve"> IF(R90&lt;&gt;"",IF(LEFT(R90,1)="S", Calculs!$B$47,0),0)</f>
        <v>0</v>
      </c>
      <c r="BD90" s="23">
        <f>SUMIF(Calculs!$A$40:$A$43,LEFT(S90,2),Calculs!$B$40:$B$43)</f>
        <v>0</v>
      </c>
      <c r="BE90" s="23">
        <f xml:space="preserve"> IF(U90&lt;&gt;"",IF(LEFT(U90,3)="ETT", Calculs!$B$36,0),0)</f>
        <v>0</v>
      </c>
      <c r="BF90" s="23">
        <f xml:space="preserve"> IF(V90&lt;&gt;"",IF(LEFT(V90,1)="S", Calculs!$B$47,0),0)</f>
        <v>0</v>
      </c>
      <c r="BG90" s="23">
        <f xml:space="preserve"> IF(W90&lt;&gt;"",IF(LEFT(W90,1)="S", Calculs!$B$48,0),0)</f>
        <v>0</v>
      </c>
      <c r="BH90" s="29" t="str">
        <f t="shared" si="33"/>
        <v/>
      </c>
      <c r="BI90" s="23">
        <f>SUMIF(Calculs!$A$32:$A$35,BH90,Calculs!$B$32:$B$35)</f>
        <v>0</v>
      </c>
      <c r="BJ90" s="185" t="str">
        <f t="shared" si="37"/>
        <v>N</v>
      </c>
      <c r="BK90" s="23">
        <f t="shared" si="38"/>
        <v>0</v>
      </c>
      <c r="BL90" s="23">
        <f>IF(AND(AR90&lt;&gt;0,BJ90="S"),VLOOKUP(AR90,Calculs!$A$53:$B$58,2,FALSE), 0)</f>
        <v>0</v>
      </c>
      <c r="BM90" s="16">
        <f t="shared" si="39"/>
        <v>0</v>
      </c>
    </row>
    <row r="91" spans="2:65" ht="13.8">
      <c r="B91" s="187"/>
      <c r="H91" s="12"/>
      <c r="I91" s="34"/>
      <c r="J91" s="34"/>
      <c r="K91" s="34"/>
      <c r="L91" s="34"/>
      <c r="M91" s="34"/>
      <c r="N91" s="34"/>
      <c r="O91" s="34"/>
      <c r="P91" s="34"/>
      <c r="Q91" s="34"/>
      <c r="R91" s="34"/>
      <c r="S91" s="34"/>
      <c r="T91" s="138"/>
      <c r="U91" s="186"/>
      <c r="V91" s="186"/>
      <c r="W91" s="186"/>
      <c r="AA91" s="138"/>
      <c r="AB91" s="138"/>
      <c r="AC91" s="138"/>
      <c r="AD91" s="139"/>
      <c r="AE91" s="140"/>
      <c r="AF91" s="141"/>
      <c r="AG91" s="141"/>
      <c r="AH91" s="141"/>
      <c r="AI91" s="142"/>
      <c r="AJ91" s="142"/>
      <c r="AK91" s="142"/>
      <c r="AL91" s="142"/>
      <c r="AM91" s="197"/>
      <c r="AN91" s="19"/>
      <c r="AO91" s="16" t="str">
        <f t="shared" si="34"/>
        <v/>
      </c>
      <c r="AP91" s="17" t="e">
        <f t="shared" si="35"/>
        <v>#N/A</v>
      </c>
      <c r="AQ91" s="25" t="str">
        <f t="shared" si="29"/>
        <v/>
      </c>
      <c r="AR91" s="32">
        <f t="shared" si="30"/>
        <v>0</v>
      </c>
      <c r="AS91" s="32">
        <f xml:space="preserve"> COUNTIF($B$11:B91,B91)</f>
        <v>0</v>
      </c>
      <c r="AT91" s="32" t="str">
        <f t="shared" si="36"/>
        <v>01N</v>
      </c>
      <c r="AU91" s="22" t="str">
        <f t="shared" si="31"/>
        <v/>
      </c>
      <c r="AV91" s="23">
        <f>SUMIF(Calculs!$A$2:$A$33,AU91,Calculs!$B$2:$B$33)</f>
        <v>0</v>
      </c>
      <c r="AW91" s="23">
        <f xml:space="preserve"> IF(K91&lt;&gt;"",IF(LEFT(K91,1)="S", Calculs!$B$49,0),0)</f>
        <v>0</v>
      </c>
      <c r="AX91" s="23">
        <f xml:space="preserve"> IF(L91&lt;&gt;"",IF(LEFT(L91,1)="S", Calculs!$B$47,0),0)</f>
        <v>0</v>
      </c>
      <c r="AY91" s="23">
        <f xml:space="preserve"> IF(M91&lt;&gt;"",IF(LEFT(M91,1)="S", Calculs!$B$48,0),0)</f>
        <v>0</v>
      </c>
      <c r="AZ91" s="29" t="str">
        <f t="shared" si="32"/>
        <v/>
      </c>
      <c r="BA91" s="29">
        <f>SUMIF(Calculs!$A$2:$A$33,AZ91,Calculs!$B$2:$B$33)</f>
        <v>0</v>
      </c>
      <c r="BB91" s="23">
        <f xml:space="preserve"> IF(Q91&lt;&gt;"",IF(LEFT(Q91,1)="S", Calculs!$B$48,0),0)</f>
        <v>0</v>
      </c>
      <c r="BC91" s="23">
        <f xml:space="preserve"> IF(R91&lt;&gt;"",IF(LEFT(R91,1)="S", Calculs!$B$47,0),0)</f>
        <v>0</v>
      </c>
      <c r="BD91" s="23">
        <f>SUMIF(Calculs!$A$40:$A$43,LEFT(S91,2),Calculs!$B$40:$B$43)</f>
        <v>0</v>
      </c>
      <c r="BE91" s="23">
        <f xml:space="preserve"> IF(U91&lt;&gt;"",IF(LEFT(U91,3)="ETT", Calculs!$B$36,0),0)</f>
        <v>0</v>
      </c>
      <c r="BF91" s="23">
        <f xml:space="preserve"> IF(V91&lt;&gt;"",IF(LEFT(V91,1)="S", Calculs!$B$47,0),0)</f>
        <v>0</v>
      </c>
      <c r="BG91" s="23">
        <f xml:space="preserve"> IF(W91&lt;&gt;"",IF(LEFT(W91,1)="S", Calculs!$B$48,0),0)</f>
        <v>0</v>
      </c>
      <c r="BH91" s="29" t="str">
        <f t="shared" si="33"/>
        <v/>
      </c>
      <c r="BI91" s="23">
        <f>SUMIF(Calculs!$A$32:$A$35,BH91,Calculs!$B$32:$B$35)</f>
        <v>0</v>
      </c>
      <c r="BJ91" s="185" t="str">
        <f t="shared" si="37"/>
        <v>N</v>
      </c>
      <c r="BK91" s="23">
        <f t="shared" si="38"/>
        <v>0</v>
      </c>
      <c r="BL91" s="23">
        <f>IF(AND(AR91&lt;&gt;0,BJ91="S"),VLOOKUP(AR91,Calculs!$A$53:$B$58,2,FALSE), 0)</f>
        <v>0</v>
      </c>
      <c r="BM91" s="16">
        <f t="shared" si="39"/>
        <v>0</v>
      </c>
    </row>
    <row r="92" spans="2:65" ht="13.8">
      <c r="B92" s="187"/>
      <c r="H92" s="12"/>
      <c r="I92" s="34"/>
      <c r="J92" s="34"/>
      <c r="K92" s="34"/>
      <c r="L92" s="34"/>
      <c r="M92" s="34"/>
      <c r="N92" s="34"/>
      <c r="O92" s="34"/>
      <c r="P92" s="34"/>
      <c r="Q92" s="34"/>
      <c r="R92" s="34"/>
      <c r="S92" s="34"/>
      <c r="T92" s="138"/>
      <c r="U92" s="186"/>
      <c r="V92" s="186"/>
      <c r="W92" s="186"/>
      <c r="AA92" s="138"/>
      <c r="AB92" s="138"/>
      <c r="AC92" s="138"/>
      <c r="AD92" s="139"/>
      <c r="AE92" s="140"/>
      <c r="AF92" s="141"/>
      <c r="AG92" s="141"/>
      <c r="AH92" s="141"/>
      <c r="AI92" s="142"/>
      <c r="AJ92" s="142"/>
      <c r="AK92" s="142"/>
      <c r="AL92" s="142"/>
      <c r="AM92" s="197"/>
      <c r="AN92" s="19"/>
      <c r="AO92" s="16" t="str">
        <f t="shared" si="34"/>
        <v/>
      </c>
      <c r="AP92" s="17" t="e">
        <f t="shared" si="35"/>
        <v>#N/A</v>
      </c>
      <c r="AQ92" s="25" t="str">
        <f t="shared" si="29"/>
        <v/>
      </c>
      <c r="AR92" s="32">
        <f t="shared" si="30"/>
        <v>0</v>
      </c>
      <c r="AS92" s="32">
        <f xml:space="preserve"> COUNTIF($B$11:B92,B92)</f>
        <v>0</v>
      </c>
      <c r="AT92" s="32" t="str">
        <f t="shared" si="36"/>
        <v>01N</v>
      </c>
      <c r="AU92" s="22" t="str">
        <f t="shared" si="31"/>
        <v/>
      </c>
      <c r="AV92" s="23">
        <f>SUMIF(Calculs!$A$2:$A$33,AU92,Calculs!$B$2:$B$33)</f>
        <v>0</v>
      </c>
      <c r="AW92" s="23">
        <f xml:space="preserve"> IF(K92&lt;&gt;"",IF(LEFT(K92,1)="S", Calculs!$B$49,0),0)</f>
        <v>0</v>
      </c>
      <c r="AX92" s="23">
        <f xml:space="preserve"> IF(L92&lt;&gt;"",IF(LEFT(L92,1)="S", Calculs!$B$47,0),0)</f>
        <v>0</v>
      </c>
      <c r="AY92" s="23">
        <f xml:space="preserve"> IF(M92&lt;&gt;"",IF(LEFT(M92,1)="S", Calculs!$B$48,0),0)</f>
        <v>0</v>
      </c>
      <c r="AZ92" s="29" t="str">
        <f t="shared" si="32"/>
        <v/>
      </c>
      <c r="BA92" s="29">
        <f>SUMIF(Calculs!$A$2:$A$33,AZ92,Calculs!$B$2:$B$33)</f>
        <v>0</v>
      </c>
      <c r="BB92" s="23">
        <f xml:space="preserve"> IF(Q92&lt;&gt;"",IF(LEFT(Q92,1)="S", Calculs!$B$48,0),0)</f>
        <v>0</v>
      </c>
      <c r="BC92" s="23">
        <f xml:space="preserve"> IF(R92&lt;&gt;"",IF(LEFT(R92,1)="S", Calculs!$B$47,0),0)</f>
        <v>0</v>
      </c>
      <c r="BD92" s="23">
        <f>SUMIF(Calculs!$A$40:$A$43,LEFT(S92,2),Calculs!$B$40:$B$43)</f>
        <v>0</v>
      </c>
      <c r="BE92" s="23">
        <f xml:space="preserve"> IF(U92&lt;&gt;"",IF(LEFT(U92,3)="ETT", Calculs!$B$36,0),0)</f>
        <v>0</v>
      </c>
      <c r="BF92" s="23">
        <f xml:space="preserve"> IF(V92&lt;&gt;"",IF(LEFT(V92,1)="S", Calculs!$B$47,0),0)</f>
        <v>0</v>
      </c>
      <c r="BG92" s="23">
        <f xml:space="preserve"> IF(W92&lt;&gt;"",IF(LEFT(W92,1)="S", Calculs!$B$48,0),0)</f>
        <v>0</v>
      </c>
      <c r="BH92" s="29" t="str">
        <f t="shared" si="33"/>
        <v/>
      </c>
      <c r="BI92" s="23">
        <f>SUMIF(Calculs!$A$32:$A$35,BH92,Calculs!$B$32:$B$35)</f>
        <v>0</v>
      </c>
      <c r="BJ92" s="185" t="str">
        <f t="shared" si="37"/>
        <v>N</v>
      </c>
      <c r="BK92" s="23">
        <f t="shared" si="38"/>
        <v>0</v>
      </c>
      <c r="BL92" s="23">
        <f>IF(AND(AR92&lt;&gt;0,BJ92="S"),VLOOKUP(AR92,Calculs!$A$53:$B$58,2,FALSE), 0)</f>
        <v>0</v>
      </c>
      <c r="BM92" s="16">
        <f t="shared" si="39"/>
        <v>0</v>
      </c>
    </row>
    <row r="93" spans="2:65" ht="13.8">
      <c r="B93" s="187"/>
      <c r="H93" s="12"/>
      <c r="I93" s="34"/>
      <c r="J93" s="34"/>
      <c r="K93" s="34"/>
      <c r="L93" s="34"/>
      <c r="M93" s="34"/>
      <c r="N93" s="34"/>
      <c r="O93" s="34"/>
      <c r="P93" s="34"/>
      <c r="Q93" s="34"/>
      <c r="R93" s="34"/>
      <c r="S93" s="34"/>
      <c r="T93" s="138"/>
      <c r="U93" s="186"/>
      <c r="V93" s="186"/>
      <c r="W93" s="186"/>
      <c r="AA93" s="138"/>
      <c r="AB93" s="138"/>
      <c r="AC93" s="138"/>
      <c r="AD93" s="139"/>
      <c r="AE93" s="140"/>
      <c r="AF93" s="141"/>
      <c r="AG93" s="141"/>
      <c r="AH93" s="141"/>
      <c r="AI93" s="142"/>
      <c r="AJ93" s="142"/>
      <c r="AK93" s="142"/>
      <c r="AL93" s="142"/>
      <c r="AM93" s="197"/>
      <c r="AN93" s="19"/>
      <c r="AO93" s="16" t="str">
        <f t="shared" si="34"/>
        <v/>
      </c>
      <c r="AP93" s="17" t="e">
        <f t="shared" si="35"/>
        <v>#N/A</v>
      </c>
      <c r="AQ93" s="25" t="str">
        <f t="shared" si="29"/>
        <v/>
      </c>
      <c r="AR93" s="32">
        <f t="shared" si="30"/>
        <v>0</v>
      </c>
      <c r="AS93" s="32">
        <f xml:space="preserve"> COUNTIF($B$11:B93,B93)</f>
        <v>0</v>
      </c>
      <c r="AT93" s="32" t="str">
        <f t="shared" si="36"/>
        <v>01N</v>
      </c>
      <c r="AU93" s="22" t="str">
        <f t="shared" si="31"/>
        <v/>
      </c>
      <c r="AV93" s="23">
        <f>SUMIF(Calculs!$A$2:$A$33,AU93,Calculs!$B$2:$B$33)</f>
        <v>0</v>
      </c>
      <c r="AW93" s="23">
        <f xml:space="preserve"> IF(K93&lt;&gt;"",IF(LEFT(K93,1)="S", Calculs!$B$49,0),0)</f>
        <v>0</v>
      </c>
      <c r="AX93" s="23">
        <f xml:space="preserve"> IF(L93&lt;&gt;"",IF(LEFT(L93,1)="S", Calculs!$B$47,0),0)</f>
        <v>0</v>
      </c>
      <c r="AY93" s="23">
        <f xml:space="preserve"> IF(M93&lt;&gt;"",IF(LEFT(M93,1)="S", Calculs!$B$48,0),0)</f>
        <v>0</v>
      </c>
      <c r="AZ93" s="29" t="str">
        <f t="shared" si="32"/>
        <v/>
      </c>
      <c r="BA93" s="29">
        <f>SUMIF(Calculs!$A$2:$A$33,AZ93,Calculs!$B$2:$B$33)</f>
        <v>0</v>
      </c>
      <c r="BB93" s="23">
        <f xml:space="preserve"> IF(Q93&lt;&gt;"",IF(LEFT(Q93,1)="S", Calculs!$B$48,0),0)</f>
        <v>0</v>
      </c>
      <c r="BC93" s="23">
        <f xml:space="preserve"> IF(R93&lt;&gt;"",IF(LEFT(R93,1)="S", Calculs!$B$47,0),0)</f>
        <v>0</v>
      </c>
      <c r="BD93" s="23">
        <f>SUMIF(Calculs!$A$40:$A$43,LEFT(S93,2),Calculs!$B$40:$B$43)</f>
        <v>0</v>
      </c>
      <c r="BE93" s="23">
        <f xml:space="preserve"> IF(U93&lt;&gt;"",IF(LEFT(U93,3)="ETT", Calculs!$B$36,0),0)</f>
        <v>0</v>
      </c>
      <c r="BF93" s="23">
        <f xml:space="preserve"> IF(V93&lt;&gt;"",IF(LEFT(V93,1)="S", Calculs!$B$47,0),0)</f>
        <v>0</v>
      </c>
      <c r="BG93" s="23">
        <f xml:space="preserve"> IF(W93&lt;&gt;"",IF(LEFT(W93,1)="S", Calculs!$B$48,0),0)</f>
        <v>0</v>
      </c>
      <c r="BH93" s="29" t="str">
        <f t="shared" si="33"/>
        <v/>
      </c>
      <c r="BI93" s="23">
        <f>SUMIF(Calculs!$A$32:$A$35,BH93,Calculs!$B$32:$B$35)</f>
        <v>0</v>
      </c>
      <c r="BJ93" s="185" t="str">
        <f t="shared" si="37"/>
        <v>N</v>
      </c>
      <c r="BK93" s="23">
        <f t="shared" si="38"/>
        <v>0</v>
      </c>
      <c r="BL93" s="23">
        <f>IF(AND(AR93&lt;&gt;0,BJ93="S"),VLOOKUP(AR93,Calculs!$A$53:$B$58,2,FALSE), 0)</f>
        <v>0</v>
      </c>
      <c r="BM93" s="16">
        <f t="shared" si="39"/>
        <v>0</v>
      </c>
    </row>
    <row r="94" spans="2:65" ht="13.8">
      <c r="B94" s="187"/>
      <c r="H94" s="12"/>
      <c r="I94" s="34"/>
      <c r="J94" s="34"/>
      <c r="K94" s="34"/>
      <c r="L94" s="34"/>
      <c r="M94" s="34"/>
      <c r="N94" s="34"/>
      <c r="O94" s="34"/>
      <c r="P94" s="34"/>
      <c r="Q94" s="34"/>
      <c r="R94" s="34"/>
      <c r="S94" s="34"/>
      <c r="T94" s="138"/>
      <c r="U94" s="186"/>
      <c r="V94" s="186"/>
      <c r="W94" s="186"/>
      <c r="AA94" s="138"/>
      <c r="AB94" s="138"/>
      <c r="AC94" s="138"/>
      <c r="AD94" s="139"/>
      <c r="AE94" s="140"/>
      <c r="AF94" s="141"/>
      <c r="AG94" s="141"/>
      <c r="AH94" s="141"/>
      <c r="AI94" s="142"/>
      <c r="AJ94" s="142"/>
      <c r="AK94" s="142"/>
      <c r="AL94" s="142"/>
      <c r="AM94" s="197"/>
      <c r="AN94" s="19"/>
      <c r="AO94" s="16" t="str">
        <f t="shared" si="34"/>
        <v/>
      </c>
      <c r="AP94" s="17" t="e">
        <f t="shared" si="35"/>
        <v>#N/A</v>
      </c>
      <c r="AQ94" s="25" t="str">
        <f t="shared" si="29"/>
        <v/>
      </c>
      <c r="AR94" s="32">
        <f t="shared" si="30"/>
        <v>0</v>
      </c>
      <c r="AS94" s="32">
        <f xml:space="preserve"> COUNTIF($B$11:B94,B94)</f>
        <v>0</v>
      </c>
      <c r="AT94" s="32" t="str">
        <f t="shared" si="36"/>
        <v>01N</v>
      </c>
      <c r="AU94" s="22" t="str">
        <f t="shared" si="31"/>
        <v/>
      </c>
      <c r="AV94" s="23">
        <f>SUMIF(Calculs!$A$2:$A$33,AU94,Calculs!$B$2:$B$33)</f>
        <v>0</v>
      </c>
      <c r="AW94" s="23">
        <f xml:space="preserve"> IF(K94&lt;&gt;"",IF(LEFT(K94,1)="S", Calculs!$B$49,0),0)</f>
        <v>0</v>
      </c>
      <c r="AX94" s="23">
        <f xml:space="preserve"> IF(L94&lt;&gt;"",IF(LEFT(L94,1)="S", Calculs!$B$47,0),0)</f>
        <v>0</v>
      </c>
      <c r="AY94" s="23">
        <f xml:space="preserve"> IF(M94&lt;&gt;"",IF(LEFT(M94,1)="S", Calculs!$B$48,0),0)</f>
        <v>0</v>
      </c>
      <c r="AZ94" s="29" t="str">
        <f t="shared" si="32"/>
        <v/>
      </c>
      <c r="BA94" s="29">
        <f>SUMIF(Calculs!$A$2:$A$33,AZ94,Calculs!$B$2:$B$33)</f>
        <v>0</v>
      </c>
      <c r="BB94" s="23">
        <f xml:space="preserve"> IF(Q94&lt;&gt;"",IF(LEFT(Q94,1)="S", Calculs!$B$48,0),0)</f>
        <v>0</v>
      </c>
      <c r="BC94" s="23">
        <f xml:space="preserve"> IF(R94&lt;&gt;"",IF(LEFT(R94,1)="S", Calculs!$B$47,0),0)</f>
        <v>0</v>
      </c>
      <c r="BD94" s="23">
        <f>SUMIF(Calculs!$A$40:$A$43,LEFT(S94,2),Calculs!$B$40:$B$43)</f>
        <v>0</v>
      </c>
      <c r="BE94" s="23">
        <f xml:space="preserve"> IF(U94&lt;&gt;"",IF(LEFT(U94,3)="ETT", Calculs!$B$36,0),0)</f>
        <v>0</v>
      </c>
      <c r="BF94" s="23">
        <f xml:space="preserve"> IF(V94&lt;&gt;"",IF(LEFT(V94,1)="S", Calculs!$B$47,0),0)</f>
        <v>0</v>
      </c>
      <c r="BG94" s="23">
        <f xml:space="preserve"> IF(W94&lt;&gt;"",IF(LEFT(W94,1)="S", Calculs!$B$48,0),0)</f>
        <v>0</v>
      </c>
      <c r="BH94" s="29" t="str">
        <f t="shared" si="33"/>
        <v/>
      </c>
      <c r="BI94" s="23">
        <f>SUMIF(Calculs!$A$32:$A$35,BH94,Calculs!$B$32:$B$35)</f>
        <v>0</v>
      </c>
      <c r="BJ94" s="185" t="str">
        <f t="shared" si="37"/>
        <v>N</v>
      </c>
      <c r="BK94" s="23">
        <f t="shared" si="38"/>
        <v>0</v>
      </c>
      <c r="BL94" s="23">
        <f>IF(AND(AR94&lt;&gt;0,BJ94="S"),VLOOKUP(AR94,Calculs!$A$53:$B$58,2,FALSE), 0)</f>
        <v>0</v>
      </c>
      <c r="BM94" s="16">
        <f t="shared" si="39"/>
        <v>0</v>
      </c>
    </row>
    <row r="95" spans="2:65" ht="13.8">
      <c r="B95" s="187"/>
      <c r="H95" s="12"/>
      <c r="I95" s="34"/>
      <c r="J95" s="34"/>
      <c r="K95" s="34"/>
      <c r="L95" s="34"/>
      <c r="M95" s="34"/>
      <c r="N95" s="34"/>
      <c r="O95" s="34"/>
      <c r="P95" s="34"/>
      <c r="Q95" s="34"/>
      <c r="R95" s="34"/>
      <c r="S95" s="34"/>
      <c r="T95" s="138"/>
      <c r="U95" s="186"/>
      <c r="V95" s="186"/>
      <c r="W95" s="186"/>
      <c r="AA95" s="138"/>
      <c r="AB95" s="138"/>
      <c r="AC95" s="138"/>
      <c r="AD95" s="139"/>
      <c r="AE95" s="140"/>
      <c r="AF95" s="141"/>
      <c r="AG95" s="141"/>
      <c r="AH95" s="141"/>
      <c r="AI95" s="142"/>
      <c r="AJ95" s="142"/>
      <c r="AK95" s="142"/>
      <c r="AL95" s="142"/>
      <c r="AM95" s="197"/>
      <c r="AN95" s="19"/>
      <c r="AO95" s="16" t="str">
        <f t="shared" si="34"/>
        <v/>
      </c>
      <c r="AP95" s="17" t="e">
        <f t="shared" si="35"/>
        <v>#N/A</v>
      </c>
      <c r="AQ95" s="25" t="str">
        <f t="shared" si="29"/>
        <v/>
      </c>
      <c r="AR95" s="32">
        <f t="shared" si="30"/>
        <v>0</v>
      </c>
      <c r="AS95" s="32">
        <f xml:space="preserve"> COUNTIF($B$11:B95,B95)</f>
        <v>0</v>
      </c>
      <c r="AT95" s="32" t="str">
        <f t="shared" si="36"/>
        <v>01N</v>
      </c>
      <c r="AU95" s="22" t="str">
        <f t="shared" si="31"/>
        <v/>
      </c>
      <c r="AV95" s="23">
        <f>SUMIF(Calculs!$A$2:$A$33,AU95,Calculs!$B$2:$B$33)</f>
        <v>0</v>
      </c>
      <c r="AW95" s="23">
        <f xml:space="preserve"> IF(K95&lt;&gt;"",IF(LEFT(K95,1)="S", Calculs!$B$49,0),0)</f>
        <v>0</v>
      </c>
      <c r="AX95" s="23">
        <f xml:space="preserve"> IF(L95&lt;&gt;"",IF(LEFT(L95,1)="S", Calculs!$B$47,0),0)</f>
        <v>0</v>
      </c>
      <c r="AY95" s="23">
        <f xml:space="preserve"> IF(M95&lt;&gt;"",IF(LEFT(M95,1)="S", Calculs!$B$48,0),0)</f>
        <v>0</v>
      </c>
      <c r="AZ95" s="29" t="str">
        <f t="shared" si="32"/>
        <v/>
      </c>
      <c r="BA95" s="29">
        <f>SUMIF(Calculs!$A$2:$A$33,AZ95,Calculs!$B$2:$B$33)</f>
        <v>0</v>
      </c>
      <c r="BB95" s="23">
        <f xml:space="preserve"> IF(Q95&lt;&gt;"",IF(LEFT(Q95,1)="S", Calculs!$B$48,0),0)</f>
        <v>0</v>
      </c>
      <c r="BC95" s="23">
        <f xml:space="preserve"> IF(R95&lt;&gt;"",IF(LEFT(R95,1)="S", Calculs!$B$47,0),0)</f>
        <v>0</v>
      </c>
      <c r="BD95" s="23">
        <f>SUMIF(Calculs!$A$40:$A$43,LEFT(S95,2),Calculs!$B$40:$B$43)</f>
        <v>0</v>
      </c>
      <c r="BE95" s="23">
        <f xml:space="preserve"> IF(U95&lt;&gt;"",IF(LEFT(U95,3)="ETT", Calculs!$B$36,0),0)</f>
        <v>0</v>
      </c>
      <c r="BF95" s="23">
        <f xml:space="preserve"> IF(V95&lt;&gt;"",IF(LEFT(V95,1)="S", Calculs!$B$47,0),0)</f>
        <v>0</v>
      </c>
      <c r="BG95" s="23">
        <f xml:space="preserve"> IF(W95&lt;&gt;"",IF(LEFT(W95,1)="S", Calculs!$B$48,0),0)</f>
        <v>0</v>
      </c>
      <c r="BH95" s="29" t="str">
        <f t="shared" si="33"/>
        <v/>
      </c>
      <c r="BI95" s="23">
        <f>SUMIF(Calculs!$A$32:$A$35,BH95,Calculs!$B$32:$B$35)</f>
        <v>0</v>
      </c>
      <c r="BJ95" s="185" t="str">
        <f t="shared" si="37"/>
        <v>N</v>
      </c>
      <c r="BK95" s="23">
        <f t="shared" si="38"/>
        <v>0</v>
      </c>
      <c r="BL95" s="23">
        <f>IF(AND(AR95&lt;&gt;0,BJ95="S"),VLOOKUP(AR95,Calculs!$A$53:$B$58,2,FALSE), 0)</f>
        <v>0</v>
      </c>
      <c r="BM95" s="16">
        <f t="shared" si="39"/>
        <v>0</v>
      </c>
    </row>
    <row r="96" spans="2:65" ht="13.8">
      <c r="B96" s="187"/>
      <c r="H96" s="12"/>
      <c r="I96" s="34"/>
      <c r="J96" s="34"/>
      <c r="K96" s="34"/>
      <c r="L96" s="34"/>
      <c r="M96" s="34"/>
      <c r="N96" s="34"/>
      <c r="O96" s="34"/>
      <c r="P96" s="34"/>
      <c r="Q96" s="34"/>
      <c r="R96" s="34"/>
      <c r="S96" s="34"/>
      <c r="T96" s="138"/>
      <c r="U96" s="186"/>
      <c r="V96" s="186"/>
      <c r="W96" s="186"/>
      <c r="AA96" s="138"/>
      <c r="AB96" s="138"/>
      <c r="AC96" s="138"/>
      <c r="AD96" s="139"/>
      <c r="AE96" s="140"/>
      <c r="AF96" s="141"/>
      <c r="AG96" s="141"/>
      <c r="AH96" s="141"/>
      <c r="AI96" s="142"/>
      <c r="AJ96" s="142"/>
      <c r="AK96" s="142"/>
      <c r="AL96" s="142"/>
      <c r="AM96" s="197"/>
      <c r="AN96" s="19"/>
      <c r="AO96" s="16" t="str">
        <f t="shared" si="34"/>
        <v/>
      </c>
      <c r="AP96" s="17" t="e">
        <f t="shared" si="35"/>
        <v>#N/A</v>
      </c>
      <c r="AQ96" s="25" t="str">
        <f t="shared" si="29"/>
        <v/>
      </c>
      <c r="AR96" s="32">
        <f t="shared" si="30"/>
        <v>0</v>
      </c>
      <c r="AS96" s="32">
        <f xml:space="preserve"> COUNTIF($B$11:B96,B96)</f>
        <v>0</v>
      </c>
      <c r="AT96" s="32" t="str">
        <f t="shared" si="36"/>
        <v>01N</v>
      </c>
      <c r="AU96" s="22" t="str">
        <f t="shared" si="31"/>
        <v/>
      </c>
      <c r="AV96" s="23">
        <f>SUMIF(Calculs!$A$2:$A$33,AU96,Calculs!$B$2:$B$33)</f>
        <v>0</v>
      </c>
      <c r="AW96" s="23">
        <f xml:space="preserve"> IF(K96&lt;&gt;"",IF(LEFT(K96,1)="S", Calculs!$B$49,0),0)</f>
        <v>0</v>
      </c>
      <c r="AX96" s="23">
        <f xml:space="preserve"> IF(L96&lt;&gt;"",IF(LEFT(L96,1)="S", Calculs!$B$47,0),0)</f>
        <v>0</v>
      </c>
      <c r="AY96" s="23">
        <f xml:space="preserve"> IF(M96&lt;&gt;"",IF(LEFT(M96,1)="S", Calculs!$B$48,0),0)</f>
        <v>0</v>
      </c>
      <c r="AZ96" s="29" t="str">
        <f t="shared" si="32"/>
        <v/>
      </c>
      <c r="BA96" s="29">
        <f>SUMIF(Calculs!$A$2:$A$33,AZ96,Calculs!$B$2:$B$33)</f>
        <v>0</v>
      </c>
      <c r="BB96" s="23">
        <f xml:space="preserve"> IF(Q96&lt;&gt;"",IF(LEFT(Q96,1)="S", Calculs!$B$48,0),0)</f>
        <v>0</v>
      </c>
      <c r="BC96" s="23">
        <f xml:space="preserve"> IF(R96&lt;&gt;"",IF(LEFT(R96,1)="S", Calculs!$B$47,0),0)</f>
        <v>0</v>
      </c>
      <c r="BD96" s="23">
        <f>SUMIF(Calculs!$A$40:$A$43,LEFT(S96,2),Calculs!$B$40:$B$43)</f>
        <v>0</v>
      </c>
      <c r="BE96" s="23">
        <f xml:space="preserve"> IF(U96&lt;&gt;"",IF(LEFT(U96,3)="ETT", Calculs!$B$36,0),0)</f>
        <v>0</v>
      </c>
      <c r="BF96" s="23">
        <f xml:space="preserve"> IF(V96&lt;&gt;"",IF(LEFT(V96,1)="S", Calculs!$B$47,0),0)</f>
        <v>0</v>
      </c>
      <c r="BG96" s="23">
        <f xml:space="preserve"> IF(W96&lt;&gt;"",IF(LEFT(W96,1)="S", Calculs!$B$48,0),0)</f>
        <v>0</v>
      </c>
      <c r="BH96" s="29" t="str">
        <f t="shared" si="33"/>
        <v/>
      </c>
      <c r="BI96" s="23">
        <f>SUMIF(Calculs!$A$32:$A$35,BH96,Calculs!$B$32:$B$35)</f>
        <v>0</v>
      </c>
      <c r="BJ96" s="185" t="str">
        <f t="shared" si="37"/>
        <v>N</v>
      </c>
      <c r="BK96" s="23">
        <f t="shared" si="38"/>
        <v>0</v>
      </c>
      <c r="BL96" s="23">
        <f>IF(AND(AR96&lt;&gt;0,BJ96="S"),VLOOKUP(AR96,Calculs!$A$53:$B$58,2,FALSE), 0)</f>
        <v>0</v>
      </c>
      <c r="BM96" s="16">
        <f t="shared" si="39"/>
        <v>0</v>
      </c>
    </row>
    <row r="97" spans="2:65" ht="13.8">
      <c r="B97" s="187"/>
      <c r="H97" s="12"/>
      <c r="I97" s="34"/>
      <c r="J97" s="34"/>
      <c r="K97" s="34"/>
      <c r="L97" s="34"/>
      <c r="M97" s="34"/>
      <c r="N97" s="34"/>
      <c r="O97" s="34"/>
      <c r="P97" s="34"/>
      <c r="Q97" s="34"/>
      <c r="R97" s="34"/>
      <c r="S97" s="34"/>
      <c r="T97" s="138"/>
      <c r="U97" s="186"/>
      <c r="V97" s="186"/>
      <c r="W97" s="186"/>
      <c r="AA97" s="138"/>
      <c r="AB97" s="138"/>
      <c r="AC97" s="138"/>
      <c r="AD97" s="139"/>
      <c r="AE97" s="140"/>
      <c r="AF97" s="141"/>
      <c r="AG97" s="141"/>
      <c r="AH97" s="141"/>
      <c r="AI97" s="142"/>
      <c r="AJ97" s="142"/>
      <c r="AK97" s="142"/>
      <c r="AL97" s="142"/>
      <c r="AM97" s="197"/>
      <c r="AN97" s="19"/>
      <c r="AO97" s="16" t="str">
        <f t="shared" si="34"/>
        <v/>
      </c>
      <c r="AP97" s="17" t="e">
        <f t="shared" si="35"/>
        <v>#N/A</v>
      </c>
      <c r="AQ97" s="25" t="str">
        <f t="shared" si="29"/>
        <v/>
      </c>
      <c r="AR97" s="32">
        <f t="shared" si="30"/>
        <v>0</v>
      </c>
      <c r="AS97" s="32">
        <f xml:space="preserve"> COUNTIF($B$11:B97,B97)</f>
        <v>0</v>
      </c>
      <c r="AT97" s="32" t="str">
        <f t="shared" si="36"/>
        <v>01N</v>
      </c>
      <c r="AU97" s="22" t="str">
        <f t="shared" si="31"/>
        <v/>
      </c>
      <c r="AV97" s="23">
        <f>SUMIF(Calculs!$A$2:$A$33,AU97,Calculs!$B$2:$B$33)</f>
        <v>0</v>
      </c>
      <c r="AW97" s="23">
        <f xml:space="preserve"> IF(K97&lt;&gt;"",IF(LEFT(K97,1)="S", Calculs!$B$49,0),0)</f>
        <v>0</v>
      </c>
      <c r="AX97" s="23">
        <f xml:space="preserve"> IF(L97&lt;&gt;"",IF(LEFT(L97,1)="S", Calculs!$B$47,0),0)</f>
        <v>0</v>
      </c>
      <c r="AY97" s="23">
        <f xml:space="preserve"> IF(M97&lt;&gt;"",IF(LEFT(M97,1)="S", Calculs!$B$48,0),0)</f>
        <v>0</v>
      </c>
      <c r="AZ97" s="29" t="str">
        <f t="shared" si="32"/>
        <v/>
      </c>
      <c r="BA97" s="29">
        <f>SUMIF(Calculs!$A$2:$A$33,AZ97,Calculs!$B$2:$B$33)</f>
        <v>0</v>
      </c>
      <c r="BB97" s="23">
        <f xml:space="preserve"> IF(Q97&lt;&gt;"",IF(LEFT(Q97,1)="S", Calculs!$B$48,0),0)</f>
        <v>0</v>
      </c>
      <c r="BC97" s="23">
        <f xml:space="preserve"> IF(R97&lt;&gt;"",IF(LEFT(R97,1)="S", Calculs!$B$47,0),0)</f>
        <v>0</v>
      </c>
      <c r="BD97" s="23">
        <f>SUMIF(Calculs!$A$40:$A$43,LEFT(S97,2),Calculs!$B$40:$B$43)</f>
        <v>0</v>
      </c>
      <c r="BE97" s="23">
        <f xml:space="preserve"> IF(U97&lt;&gt;"",IF(LEFT(U97,3)="ETT", Calculs!$B$36,0),0)</f>
        <v>0</v>
      </c>
      <c r="BF97" s="23">
        <f xml:space="preserve"> IF(V97&lt;&gt;"",IF(LEFT(V97,1)="S", Calculs!$B$47,0),0)</f>
        <v>0</v>
      </c>
      <c r="BG97" s="23">
        <f xml:space="preserve"> IF(W97&lt;&gt;"",IF(LEFT(W97,1)="S", Calculs!$B$48,0),0)</f>
        <v>0</v>
      </c>
      <c r="BH97" s="29" t="str">
        <f t="shared" si="33"/>
        <v/>
      </c>
      <c r="BI97" s="23">
        <f>SUMIF(Calculs!$A$32:$A$35,BH97,Calculs!$B$32:$B$35)</f>
        <v>0</v>
      </c>
      <c r="BJ97" s="185" t="str">
        <f t="shared" si="37"/>
        <v>N</v>
      </c>
      <c r="BK97" s="23">
        <f t="shared" si="38"/>
        <v>0</v>
      </c>
      <c r="BL97" s="23">
        <f>IF(AND(AR97&lt;&gt;0,BJ97="S"),VLOOKUP(AR97,Calculs!$A$53:$B$58,2,FALSE), 0)</f>
        <v>0</v>
      </c>
      <c r="BM97" s="16">
        <f t="shared" si="39"/>
        <v>0</v>
      </c>
    </row>
    <row r="98" spans="2:65" ht="13.8">
      <c r="B98" s="187"/>
      <c r="H98" s="12"/>
      <c r="I98" s="34"/>
      <c r="J98" s="34"/>
      <c r="K98" s="34"/>
      <c r="L98" s="34"/>
      <c r="M98" s="34"/>
      <c r="N98" s="34"/>
      <c r="O98" s="34"/>
      <c r="P98" s="34"/>
      <c r="Q98" s="34"/>
      <c r="R98" s="34"/>
      <c r="S98" s="34"/>
      <c r="T98" s="138"/>
      <c r="U98" s="186"/>
      <c r="V98" s="186"/>
      <c r="W98" s="186"/>
      <c r="AA98" s="138"/>
      <c r="AB98" s="138"/>
      <c r="AC98" s="138"/>
      <c r="AD98" s="139"/>
      <c r="AE98" s="140"/>
      <c r="AF98" s="141"/>
      <c r="AG98" s="141"/>
      <c r="AH98" s="141"/>
      <c r="AI98" s="142"/>
      <c r="AJ98" s="142"/>
      <c r="AK98" s="142"/>
      <c r="AL98" s="142"/>
      <c r="AM98" s="197"/>
      <c r="AN98" s="19"/>
      <c r="AO98" s="16" t="str">
        <f t="shared" si="34"/>
        <v/>
      </c>
      <c r="AP98" s="17" t="e">
        <f t="shared" si="35"/>
        <v>#N/A</v>
      </c>
      <c r="AQ98" s="25" t="str">
        <f t="shared" si="29"/>
        <v/>
      </c>
      <c r="AR98" s="32">
        <f t="shared" si="30"/>
        <v>0</v>
      </c>
      <c r="AS98" s="32">
        <f xml:space="preserve"> COUNTIF($B$11:B98,B98)</f>
        <v>0</v>
      </c>
      <c r="AT98" s="32" t="str">
        <f t="shared" si="36"/>
        <v>01N</v>
      </c>
      <c r="AU98" s="22" t="str">
        <f t="shared" si="31"/>
        <v/>
      </c>
      <c r="AV98" s="23">
        <f>SUMIF(Calculs!$A$2:$A$33,AU98,Calculs!$B$2:$B$33)</f>
        <v>0</v>
      </c>
      <c r="AW98" s="23">
        <f xml:space="preserve"> IF(K98&lt;&gt;"",IF(LEFT(K98,1)="S", Calculs!$B$49,0),0)</f>
        <v>0</v>
      </c>
      <c r="AX98" s="23">
        <f xml:space="preserve"> IF(L98&lt;&gt;"",IF(LEFT(L98,1)="S", Calculs!$B$47,0),0)</f>
        <v>0</v>
      </c>
      <c r="AY98" s="23">
        <f xml:space="preserve"> IF(M98&lt;&gt;"",IF(LEFT(M98,1)="S", Calculs!$B$48,0),0)</f>
        <v>0</v>
      </c>
      <c r="AZ98" s="29" t="str">
        <f t="shared" si="32"/>
        <v/>
      </c>
      <c r="BA98" s="29">
        <f>SUMIF(Calculs!$A$2:$A$33,AZ98,Calculs!$B$2:$B$33)</f>
        <v>0</v>
      </c>
      <c r="BB98" s="23">
        <f xml:space="preserve"> IF(Q98&lt;&gt;"",IF(LEFT(Q98,1)="S", Calculs!$B$48,0),0)</f>
        <v>0</v>
      </c>
      <c r="BC98" s="23">
        <f xml:space="preserve"> IF(R98&lt;&gt;"",IF(LEFT(R98,1)="S", Calculs!$B$47,0),0)</f>
        <v>0</v>
      </c>
      <c r="BD98" s="23">
        <f>SUMIF(Calculs!$A$40:$A$43,LEFT(S98,2),Calculs!$B$40:$B$43)</f>
        <v>0</v>
      </c>
      <c r="BE98" s="23">
        <f xml:space="preserve"> IF(U98&lt;&gt;"",IF(LEFT(U98,3)="ETT", Calculs!$B$36,0),0)</f>
        <v>0</v>
      </c>
      <c r="BF98" s="23">
        <f xml:space="preserve"> IF(V98&lt;&gt;"",IF(LEFT(V98,1)="S", Calculs!$B$47,0),0)</f>
        <v>0</v>
      </c>
      <c r="BG98" s="23">
        <f xml:space="preserve"> IF(W98&lt;&gt;"",IF(LEFT(W98,1)="S", Calculs!$B$48,0),0)</f>
        <v>0</v>
      </c>
      <c r="BH98" s="29" t="str">
        <f t="shared" si="33"/>
        <v/>
      </c>
      <c r="BI98" s="23">
        <f>SUMIF(Calculs!$A$32:$A$35,BH98,Calculs!$B$32:$B$35)</f>
        <v>0</v>
      </c>
      <c r="BJ98" s="185" t="str">
        <f t="shared" si="37"/>
        <v>N</v>
      </c>
      <c r="BK98" s="23">
        <f t="shared" si="38"/>
        <v>0</v>
      </c>
      <c r="BL98" s="23">
        <f>IF(AND(AR98&lt;&gt;0,BJ98="S"),VLOOKUP(AR98,Calculs!$A$53:$B$58,2,FALSE), 0)</f>
        <v>0</v>
      </c>
      <c r="BM98" s="16">
        <f t="shared" si="39"/>
        <v>0</v>
      </c>
    </row>
    <row r="99" spans="2:65" ht="13.8">
      <c r="B99" s="187"/>
      <c r="H99" s="12"/>
      <c r="I99" s="34"/>
      <c r="J99" s="34"/>
      <c r="K99" s="34"/>
      <c r="L99" s="34"/>
      <c r="M99" s="34"/>
      <c r="N99" s="34"/>
      <c r="O99" s="34"/>
      <c r="P99" s="34"/>
      <c r="Q99" s="34"/>
      <c r="R99" s="34"/>
      <c r="S99" s="34"/>
      <c r="T99" s="138"/>
      <c r="U99" s="186"/>
      <c r="V99" s="186"/>
      <c r="W99" s="186"/>
      <c r="AA99" s="138"/>
      <c r="AB99" s="138"/>
      <c r="AC99" s="138"/>
      <c r="AD99" s="139"/>
      <c r="AE99" s="140"/>
      <c r="AF99" s="141"/>
      <c r="AG99" s="141"/>
      <c r="AH99" s="141"/>
      <c r="AI99" s="142"/>
      <c r="AJ99" s="142"/>
      <c r="AK99" s="142"/>
      <c r="AL99" s="142"/>
      <c r="AM99" s="197"/>
      <c r="AN99" s="19"/>
      <c r="AO99" s="16" t="str">
        <f t="shared" si="34"/>
        <v/>
      </c>
      <c r="AP99" s="17" t="e">
        <f t="shared" si="35"/>
        <v>#N/A</v>
      </c>
      <c r="AQ99" s="25" t="str">
        <f t="shared" si="29"/>
        <v/>
      </c>
      <c r="AR99" s="32">
        <f t="shared" si="30"/>
        <v>0</v>
      </c>
      <c r="AS99" s="32">
        <f xml:space="preserve"> COUNTIF($B$11:B99,B99)</f>
        <v>0</v>
      </c>
      <c r="AT99" s="32" t="str">
        <f t="shared" si="36"/>
        <v>01N</v>
      </c>
      <c r="AU99" s="22" t="str">
        <f t="shared" si="31"/>
        <v/>
      </c>
      <c r="AV99" s="23">
        <f>SUMIF(Calculs!$A$2:$A$33,AU99,Calculs!$B$2:$B$33)</f>
        <v>0</v>
      </c>
      <c r="AW99" s="23">
        <f xml:space="preserve"> IF(K99&lt;&gt;"",IF(LEFT(K99,1)="S", Calculs!$B$49,0),0)</f>
        <v>0</v>
      </c>
      <c r="AX99" s="23">
        <f xml:space="preserve"> IF(L99&lt;&gt;"",IF(LEFT(L99,1)="S", Calculs!$B$47,0),0)</f>
        <v>0</v>
      </c>
      <c r="AY99" s="23">
        <f xml:space="preserve"> IF(M99&lt;&gt;"",IF(LEFT(M99,1)="S", Calculs!$B$48,0),0)</f>
        <v>0</v>
      </c>
      <c r="AZ99" s="29" t="str">
        <f t="shared" si="32"/>
        <v/>
      </c>
      <c r="BA99" s="29">
        <f>SUMIF(Calculs!$A$2:$A$33,AZ99,Calculs!$B$2:$B$33)</f>
        <v>0</v>
      </c>
      <c r="BB99" s="23">
        <f xml:space="preserve"> IF(Q99&lt;&gt;"",IF(LEFT(Q99,1)="S", Calculs!$B$48,0),0)</f>
        <v>0</v>
      </c>
      <c r="BC99" s="23">
        <f xml:space="preserve"> IF(R99&lt;&gt;"",IF(LEFT(R99,1)="S", Calculs!$B$47,0),0)</f>
        <v>0</v>
      </c>
      <c r="BD99" s="23">
        <f>SUMIF(Calculs!$A$40:$A$43,LEFT(S99,2),Calculs!$B$40:$B$43)</f>
        <v>0</v>
      </c>
      <c r="BE99" s="23">
        <f xml:space="preserve"> IF(U99&lt;&gt;"",IF(LEFT(U99,3)="ETT", Calculs!$B$36,0),0)</f>
        <v>0</v>
      </c>
      <c r="BF99" s="23">
        <f xml:space="preserve"> IF(V99&lt;&gt;"",IF(LEFT(V99,1)="S", Calculs!$B$47,0),0)</f>
        <v>0</v>
      </c>
      <c r="BG99" s="23">
        <f xml:space="preserve"> IF(W99&lt;&gt;"",IF(LEFT(W99,1)="S", Calculs!$B$48,0),0)</f>
        <v>0</v>
      </c>
      <c r="BH99" s="29" t="str">
        <f t="shared" si="33"/>
        <v/>
      </c>
      <c r="BI99" s="23">
        <f>SUMIF(Calculs!$A$32:$A$35,BH99,Calculs!$B$32:$B$35)</f>
        <v>0</v>
      </c>
      <c r="BJ99" s="185" t="str">
        <f t="shared" si="37"/>
        <v>N</v>
      </c>
      <c r="BK99" s="23">
        <f t="shared" si="38"/>
        <v>0</v>
      </c>
      <c r="BL99" s="23">
        <f>IF(AND(AR99&lt;&gt;0,BJ99="S"),VLOOKUP(AR99,Calculs!$A$53:$B$58,2,FALSE), 0)</f>
        <v>0</v>
      </c>
      <c r="BM99" s="16">
        <f t="shared" si="39"/>
        <v>0</v>
      </c>
    </row>
    <row r="100" spans="2:65" ht="13.8">
      <c r="B100" s="187"/>
      <c r="H100" s="12"/>
      <c r="I100" s="34"/>
      <c r="J100" s="34"/>
      <c r="K100" s="34"/>
      <c r="L100" s="34"/>
      <c r="M100" s="34"/>
      <c r="N100" s="34"/>
      <c r="O100" s="34"/>
      <c r="P100" s="34"/>
      <c r="Q100" s="34"/>
      <c r="R100" s="34"/>
      <c r="S100" s="34"/>
      <c r="T100" s="138"/>
      <c r="U100" s="186"/>
      <c r="V100" s="186"/>
      <c r="W100" s="186"/>
      <c r="AA100" s="138"/>
      <c r="AB100" s="138"/>
      <c r="AC100" s="138"/>
      <c r="AD100" s="139"/>
      <c r="AE100" s="140"/>
      <c r="AF100" s="141"/>
      <c r="AG100" s="141"/>
      <c r="AH100" s="141"/>
      <c r="AI100" s="142"/>
      <c r="AJ100" s="142"/>
      <c r="AK100" s="142"/>
      <c r="AL100" s="142"/>
      <c r="AM100" s="197"/>
      <c r="AN100" s="19"/>
      <c r="AO100" s="16" t="str">
        <f t="shared" si="34"/>
        <v/>
      </c>
      <c r="AP100" s="17" t="e">
        <f t="shared" si="35"/>
        <v>#N/A</v>
      </c>
      <c r="AQ100" s="25" t="str">
        <f t="shared" si="29"/>
        <v/>
      </c>
      <c r="AR100" s="32">
        <f t="shared" si="30"/>
        <v>0</v>
      </c>
      <c r="AS100" s="32">
        <f xml:space="preserve"> COUNTIF($B$11:B100,B100)</f>
        <v>0</v>
      </c>
      <c r="AT100" s="32" t="str">
        <f t="shared" si="36"/>
        <v>01N</v>
      </c>
      <c r="AU100" s="22" t="str">
        <f t="shared" si="31"/>
        <v/>
      </c>
      <c r="AV100" s="23">
        <f>SUMIF(Calculs!$A$2:$A$33,AU100,Calculs!$B$2:$B$33)</f>
        <v>0</v>
      </c>
      <c r="AW100" s="23">
        <f xml:space="preserve"> IF(K100&lt;&gt;"",IF(LEFT(K100,1)="S", Calculs!$B$49,0),0)</f>
        <v>0</v>
      </c>
      <c r="AX100" s="23">
        <f xml:space="preserve"> IF(L100&lt;&gt;"",IF(LEFT(L100,1)="S", Calculs!$B$47,0),0)</f>
        <v>0</v>
      </c>
      <c r="AY100" s="23">
        <f xml:space="preserve"> IF(M100&lt;&gt;"",IF(LEFT(M100,1)="S", Calculs!$B$48,0),0)</f>
        <v>0</v>
      </c>
      <c r="AZ100" s="29" t="str">
        <f t="shared" si="32"/>
        <v/>
      </c>
      <c r="BA100" s="29">
        <f>SUMIF(Calculs!$A$2:$A$33,AZ100,Calculs!$B$2:$B$33)</f>
        <v>0</v>
      </c>
      <c r="BB100" s="23">
        <f xml:space="preserve"> IF(Q100&lt;&gt;"",IF(LEFT(Q100,1)="S", Calculs!$B$48,0),0)</f>
        <v>0</v>
      </c>
      <c r="BC100" s="23">
        <f xml:space="preserve"> IF(R100&lt;&gt;"",IF(LEFT(R100,1)="S", Calculs!$B$47,0),0)</f>
        <v>0</v>
      </c>
      <c r="BD100" s="23">
        <f>SUMIF(Calculs!$A$40:$A$43,LEFT(S100,2),Calculs!$B$40:$B$43)</f>
        <v>0</v>
      </c>
      <c r="BE100" s="23">
        <f xml:space="preserve"> IF(U100&lt;&gt;"",IF(LEFT(U100,3)="ETT", Calculs!$B$36,0),0)</f>
        <v>0</v>
      </c>
      <c r="BF100" s="23">
        <f xml:space="preserve"> IF(V100&lt;&gt;"",IF(LEFT(V100,1)="S", Calculs!$B$47,0),0)</f>
        <v>0</v>
      </c>
      <c r="BG100" s="23">
        <f xml:space="preserve"> IF(W100&lt;&gt;"",IF(LEFT(W100,1)="S", Calculs!$B$48,0),0)</f>
        <v>0</v>
      </c>
      <c r="BH100" s="29" t="str">
        <f t="shared" si="33"/>
        <v/>
      </c>
      <c r="BI100" s="23">
        <f>SUMIF(Calculs!$A$32:$A$35,BH100,Calculs!$B$32:$B$35)</f>
        <v>0</v>
      </c>
      <c r="BJ100" s="185" t="str">
        <f t="shared" si="37"/>
        <v>N</v>
      </c>
      <c r="BK100" s="23">
        <f t="shared" si="38"/>
        <v>0</v>
      </c>
      <c r="BL100" s="23">
        <f>IF(AND(AR100&lt;&gt;0,BJ100="S"),VLOOKUP(AR100,Calculs!$A$53:$B$58,2,FALSE), 0)</f>
        <v>0</v>
      </c>
      <c r="BM100" s="16">
        <f t="shared" si="39"/>
        <v>0</v>
      </c>
    </row>
    <row r="101" spans="2:65" ht="13.8">
      <c r="B101" s="187"/>
      <c r="H101" s="12"/>
      <c r="I101" s="34"/>
      <c r="J101" s="34"/>
      <c r="K101" s="34"/>
      <c r="L101" s="34"/>
      <c r="M101" s="34"/>
      <c r="N101" s="34"/>
      <c r="O101" s="34"/>
      <c r="P101" s="34"/>
      <c r="Q101" s="34"/>
      <c r="R101" s="34"/>
      <c r="S101" s="34"/>
      <c r="T101" s="138"/>
      <c r="U101" s="186"/>
      <c r="V101" s="186"/>
      <c r="W101" s="186"/>
      <c r="AA101" s="138"/>
      <c r="AB101" s="138"/>
      <c r="AC101" s="138"/>
      <c r="AD101" s="139"/>
      <c r="AE101" s="140"/>
      <c r="AF101" s="141"/>
      <c r="AG101" s="141"/>
      <c r="AH101" s="141"/>
      <c r="AI101" s="142"/>
      <c r="AJ101" s="142"/>
      <c r="AK101" s="142"/>
      <c r="AL101" s="142"/>
      <c r="AM101" s="197"/>
      <c r="AN101" s="19"/>
      <c r="AO101" s="16" t="str">
        <f t="shared" si="34"/>
        <v/>
      </c>
      <c r="AP101" s="17" t="e">
        <f t="shared" si="35"/>
        <v>#N/A</v>
      </c>
      <c r="AQ101" s="25" t="str">
        <f t="shared" si="29"/>
        <v/>
      </c>
      <c r="AR101" s="32">
        <f t="shared" si="30"/>
        <v>0</v>
      </c>
      <c r="AS101" s="32">
        <f xml:space="preserve"> COUNTIF($B$11:B101,B101)</f>
        <v>0</v>
      </c>
      <c r="AT101" s="32" t="str">
        <f t="shared" si="36"/>
        <v>01N</v>
      </c>
      <c r="AU101" s="22" t="str">
        <f t="shared" si="31"/>
        <v/>
      </c>
      <c r="AV101" s="23">
        <f>SUMIF(Calculs!$A$2:$A$33,AU101,Calculs!$B$2:$B$33)</f>
        <v>0</v>
      </c>
      <c r="AW101" s="23">
        <f xml:space="preserve"> IF(K101&lt;&gt;"",IF(LEFT(K101,1)="S", Calculs!$B$49,0),0)</f>
        <v>0</v>
      </c>
      <c r="AX101" s="23">
        <f xml:space="preserve"> IF(L101&lt;&gt;"",IF(LEFT(L101,1)="S", Calculs!$B$47,0),0)</f>
        <v>0</v>
      </c>
      <c r="AY101" s="23">
        <f xml:space="preserve"> IF(M101&lt;&gt;"",IF(LEFT(M101,1)="S", Calculs!$B$48,0),0)</f>
        <v>0</v>
      </c>
      <c r="AZ101" s="29" t="str">
        <f t="shared" si="32"/>
        <v/>
      </c>
      <c r="BA101" s="29">
        <f>SUMIF(Calculs!$A$2:$A$33,AZ101,Calculs!$B$2:$B$33)</f>
        <v>0</v>
      </c>
      <c r="BB101" s="23">
        <f xml:space="preserve"> IF(Q101&lt;&gt;"",IF(LEFT(Q101,1)="S", Calculs!$B$48,0),0)</f>
        <v>0</v>
      </c>
      <c r="BC101" s="23">
        <f xml:space="preserve"> IF(R101&lt;&gt;"",IF(LEFT(R101,1)="S", Calculs!$B$47,0),0)</f>
        <v>0</v>
      </c>
      <c r="BD101" s="23">
        <f>SUMIF(Calculs!$A$40:$A$43,LEFT(S101,2),Calculs!$B$40:$B$43)</f>
        <v>0</v>
      </c>
      <c r="BE101" s="23">
        <f xml:space="preserve"> IF(U101&lt;&gt;"",IF(LEFT(U101,3)="ETT", Calculs!$B$36,0),0)</f>
        <v>0</v>
      </c>
      <c r="BF101" s="23">
        <f xml:space="preserve"> IF(V101&lt;&gt;"",IF(LEFT(V101,1)="S", Calculs!$B$47,0),0)</f>
        <v>0</v>
      </c>
      <c r="BG101" s="23">
        <f xml:space="preserve"> IF(W101&lt;&gt;"",IF(LEFT(W101,1)="S", Calculs!$B$48,0),0)</f>
        <v>0</v>
      </c>
      <c r="BH101" s="29" t="str">
        <f t="shared" si="33"/>
        <v/>
      </c>
      <c r="BI101" s="23">
        <f>SUMIF(Calculs!$A$32:$A$35,BH101,Calculs!$B$32:$B$35)</f>
        <v>0</v>
      </c>
      <c r="BJ101" s="185" t="str">
        <f t="shared" si="37"/>
        <v>N</v>
      </c>
      <c r="BK101" s="23">
        <f t="shared" si="38"/>
        <v>0</v>
      </c>
      <c r="BL101" s="23">
        <f>IF(AND(AR101&lt;&gt;0,BJ101="S"),VLOOKUP(AR101,Calculs!$A$53:$B$58,2,FALSE), 0)</f>
        <v>0</v>
      </c>
      <c r="BM101" s="16">
        <f t="shared" si="39"/>
        <v>0</v>
      </c>
    </row>
    <row r="102" spans="2:65" ht="13.8">
      <c r="B102" s="187"/>
      <c r="H102" s="12"/>
      <c r="I102" s="34"/>
      <c r="J102" s="34"/>
      <c r="K102" s="34"/>
      <c r="L102" s="34"/>
      <c r="M102" s="34"/>
      <c r="N102" s="34"/>
      <c r="O102" s="34"/>
      <c r="P102" s="34"/>
      <c r="Q102" s="34"/>
      <c r="R102" s="34"/>
      <c r="S102" s="34"/>
      <c r="T102" s="138"/>
      <c r="U102" s="186"/>
      <c r="V102" s="186"/>
      <c r="W102" s="186"/>
      <c r="AA102" s="138"/>
      <c r="AB102" s="138"/>
      <c r="AC102" s="138"/>
      <c r="AD102" s="139"/>
      <c r="AE102" s="140"/>
      <c r="AF102" s="141"/>
      <c r="AG102" s="141"/>
      <c r="AH102" s="141"/>
      <c r="AI102" s="142"/>
      <c r="AJ102" s="142"/>
      <c r="AK102" s="142"/>
      <c r="AL102" s="142"/>
      <c r="AM102" s="197"/>
      <c r="AN102" s="19"/>
      <c r="AO102" s="16" t="str">
        <f t="shared" si="34"/>
        <v/>
      </c>
      <c r="AP102" s="17" t="e">
        <f t="shared" si="35"/>
        <v>#N/A</v>
      </c>
      <c r="AQ102" s="25" t="str">
        <f t="shared" si="29"/>
        <v/>
      </c>
      <c r="AR102" s="32">
        <f t="shared" si="30"/>
        <v>0</v>
      </c>
      <c r="AS102" s="32">
        <f xml:space="preserve"> COUNTIF($B$11:B102,B102)</f>
        <v>0</v>
      </c>
      <c r="AT102" s="32" t="str">
        <f t="shared" si="36"/>
        <v>01N</v>
      </c>
      <c r="AU102" s="22" t="str">
        <f t="shared" si="31"/>
        <v/>
      </c>
      <c r="AV102" s="23">
        <f>SUMIF(Calculs!$A$2:$A$33,AU102,Calculs!$B$2:$B$33)</f>
        <v>0</v>
      </c>
      <c r="AW102" s="23">
        <f xml:space="preserve"> IF(K102&lt;&gt;"",IF(LEFT(K102,1)="S", Calculs!$B$49,0),0)</f>
        <v>0</v>
      </c>
      <c r="AX102" s="23">
        <f xml:space="preserve"> IF(L102&lt;&gt;"",IF(LEFT(L102,1)="S", Calculs!$B$47,0),0)</f>
        <v>0</v>
      </c>
      <c r="AY102" s="23">
        <f xml:space="preserve"> IF(M102&lt;&gt;"",IF(LEFT(M102,1)="S", Calculs!$B$48,0),0)</f>
        <v>0</v>
      </c>
      <c r="AZ102" s="29" t="str">
        <f t="shared" si="32"/>
        <v/>
      </c>
      <c r="BA102" s="29">
        <f>SUMIF(Calculs!$A$2:$A$33,AZ102,Calculs!$B$2:$B$33)</f>
        <v>0</v>
      </c>
      <c r="BB102" s="23">
        <f xml:space="preserve"> IF(Q102&lt;&gt;"",IF(LEFT(Q102,1)="S", Calculs!$B$48,0),0)</f>
        <v>0</v>
      </c>
      <c r="BC102" s="23">
        <f xml:space="preserve"> IF(R102&lt;&gt;"",IF(LEFT(R102,1)="S", Calculs!$B$47,0),0)</f>
        <v>0</v>
      </c>
      <c r="BD102" s="23">
        <f>SUMIF(Calculs!$A$40:$A$43,LEFT(S102,2),Calculs!$B$40:$B$43)</f>
        <v>0</v>
      </c>
      <c r="BE102" s="23">
        <f xml:space="preserve"> IF(U102&lt;&gt;"",IF(LEFT(U102,3)="ETT", Calculs!$B$36,0),0)</f>
        <v>0</v>
      </c>
      <c r="BF102" s="23">
        <f xml:space="preserve"> IF(V102&lt;&gt;"",IF(LEFT(V102,1)="S", Calculs!$B$47,0),0)</f>
        <v>0</v>
      </c>
      <c r="BG102" s="23">
        <f xml:space="preserve"> IF(W102&lt;&gt;"",IF(LEFT(W102,1)="S", Calculs!$B$48,0),0)</f>
        <v>0</v>
      </c>
      <c r="BH102" s="29" t="str">
        <f t="shared" si="33"/>
        <v/>
      </c>
      <c r="BI102" s="23">
        <f>SUMIF(Calculs!$A$32:$A$35,BH102,Calculs!$B$32:$B$35)</f>
        <v>0</v>
      </c>
      <c r="BJ102" s="185" t="str">
        <f t="shared" si="37"/>
        <v>N</v>
      </c>
      <c r="BK102" s="23">
        <f t="shared" si="38"/>
        <v>0</v>
      </c>
      <c r="BL102" s="23">
        <f>IF(AND(AR102&lt;&gt;0,BJ102="S"),VLOOKUP(AR102,Calculs!$A$53:$B$58,2,FALSE), 0)</f>
        <v>0</v>
      </c>
      <c r="BM102" s="16">
        <f t="shared" si="39"/>
        <v>0</v>
      </c>
    </row>
    <row r="103" spans="2:65" ht="13.8">
      <c r="B103" s="187"/>
      <c r="H103" s="12"/>
      <c r="I103" s="34"/>
      <c r="J103" s="34"/>
      <c r="K103" s="34"/>
      <c r="L103" s="34"/>
      <c r="M103" s="34"/>
      <c r="N103" s="34"/>
      <c r="O103" s="34"/>
      <c r="P103" s="34"/>
      <c r="Q103" s="34"/>
      <c r="R103" s="34"/>
      <c r="S103" s="34"/>
      <c r="T103" s="138"/>
      <c r="U103" s="186"/>
      <c r="V103" s="186"/>
      <c r="W103" s="186"/>
      <c r="AA103" s="138"/>
      <c r="AB103" s="138"/>
      <c r="AC103" s="138"/>
      <c r="AD103" s="139"/>
      <c r="AE103" s="140"/>
      <c r="AF103" s="141"/>
      <c r="AG103" s="141"/>
      <c r="AH103" s="141"/>
      <c r="AI103" s="142"/>
      <c r="AJ103" s="142"/>
      <c r="AK103" s="142"/>
      <c r="AL103" s="142"/>
      <c r="AM103" s="197"/>
      <c r="AN103" s="19"/>
      <c r="AO103" s="16" t="str">
        <f t="shared" si="34"/>
        <v/>
      </c>
      <c r="AP103" s="17" t="e">
        <f t="shared" si="35"/>
        <v>#N/A</v>
      </c>
      <c r="AQ103" s="25" t="str">
        <f t="shared" si="29"/>
        <v/>
      </c>
      <c r="AR103" s="32">
        <f t="shared" si="30"/>
        <v>0</v>
      </c>
      <c r="AS103" s="32">
        <f xml:space="preserve"> COUNTIF($B$11:B103,B103)</f>
        <v>0</v>
      </c>
      <c r="AT103" s="32" t="str">
        <f t="shared" si="36"/>
        <v>01N</v>
      </c>
      <c r="AU103" s="22" t="str">
        <f t="shared" si="31"/>
        <v/>
      </c>
      <c r="AV103" s="23">
        <f>SUMIF(Calculs!$A$2:$A$33,AU103,Calculs!$B$2:$B$33)</f>
        <v>0</v>
      </c>
      <c r="AW103" s="23">
        <f xml:space="preserve"> IF(K103&lt;&gt;"",IF(LEFT(K103,1)="S", Calculs!$B$49,0),0)</f>
        <v>0</v>
      </c>
      <c r="AX103" s="23">
        <f xml:space="preserve"> IF(L103&lt;&gt;"",IF(LEFT(L103,1)="S", Calculs!$B$47,0),0)</f>
        <v>0</v>
      </c>
      <c r="AY103" s="23">
        <f xml:space="preserve"> IF(M103&lt;&gt;"",IF(LEFT(M103,1)="S", Calculs!$B$48,0),0)</f>
        <v>0</v>
      </c>
      <c r="AZ103" s="29" t="str">
        <f t="shared" si="32"/>
        <v/>
      </c>
      <c r="BA103" s="29">
        <f>SUMIF(Calculs!$A$2:$A$33,AZ103,Calculs!$B$2:$B$33)</f>
        <v>0</v>
      </c>
      <c r="BB103" s="23">
        <f xml:space="preserve"> IF(Q103&lt;&gt;"",IF(LEFT(Q103,1)="S", Calculs!$B$48,0),0)</f>
        <v>0</v>
      </c>
      <c r="BC103" s="23">
        <f xml:space="preserve"> IF(R103&lt;&gt;"",IF(LEFT(R103,1)="S", Calculs!$B$47,0),0)</f>
        <v>0</v>
      </c>
      <c r="BD103" s="23">
        <f>SUMIF(Calculs!$A$40:$A$43,LEFT(S103,2),Calculs!$B$40:$B$43)</f>
        <v>0</v>
      </c>
      <c r="BE103" s="23">
        <f xml:space="preserve"> IF(U103&lt;&gt;"",IF(LEFT(U103,3)="ETT", Calculs!$B$36,0),0)</f>
        <v>0</v>
      </c>
      <c r="BF103" s="23">
        <f xml:space="preserve"> IF(V103&lt;&gt;"",IF(LEFT(V103,1)="S", Calculs!$B$47,0),0)</f>
        <v>0</v>
      </c>
      <c r="BG103" s="23">
        <f xml:space="preserve"> IF(W103&lt;&gt;"",IF(LEFT(W103,1)="S", Calculs!$B$48,0),0)</f>
        <v>0</v>
      </c>
      <c r="BH103" s="29" t="str">
        <f t="shared" si="33"/>
        <v/>
      </c>
      <c r="BI103" s="23">
        <f>SUMIF(Calculs!$A$32:$A$35,BH103,Calculs!$B$32:$B$35)</f>
        <v>0</v>
      </c>
      <c r="BJ103" s="185" t="str">
        <f t="shared" si="37"/>
        <v>N</v>
      </c>
      <c r="BK103" s="23">
        <f t="shared" si="38"/>
        <v>0</v>
      </c>
      <c r="BL103" s="23">
        <f>IF(AND(AR103&lt;&gt;0,BJ103="S"),VLOOKUP(AR103,Calculs!$A$53:$B$58,2,FALSE), 0)</f>
        <v>0</v>
      </c>
      <c r="BM103" s="16">
        <f t="shared" si="39"/>
        <v>0</v>
      </c>
    </row>
    <row r="104" spans="2:65" ht="13.8">
      <c r="B104" s="187"/>
      <c r="H104" s="12"/>
      <c r="I104" s="34"/>
      <c r="J104" s="34"/>
      <c r="K104" s="34"/>
      <c r="L104" s="34"/>
      <c r="M104" s="34"/>
      <c r="N104" s="34"/>
      <c r="O104" s="34"/>
      <c r="P104" s="34"/>
      <c r="Q104" s="34"/>
      <c r="R104" s="34"/>
      <c r="S104" s="34"/>
      <c r="T104" s="138"/>
      <c r="U104" s="186"/>
      <c r="V104" s="186"/>
      <c r="W104" s="186"/>
      <c r="AA104" s="138"/>
      <c r="AB104" s="138"/>
      <c r="AC104" s="138"/>
      <c r="AD104" s="139"/>
      <c r="AE104" s="140"/>
      <c r="AF104" s="141"/>
      <c r="AG104" s="141"/>
      <c r="AH104" s="141"/>
      <c r="AI104" s="142"/>
      <c r="AJ104" s="142"/>
      <c r="AK104" s="142"/>
      <c r="AL104" s="142"/>
      <c r="AM104" s="197"/>
      <c r="AN104" s="19"/>
      <c r="AO104" s="16" t="str">
        <f t="shared" si="34"/>
        <v/>
      </c>
      <c r="AP104" s="17" t="e">
        <f t="shared" si="35"/>
        <v>#N/A</v>
      </c>
      <c r="AQ104" s="25" t="str">
        <f t="shared" si="29"/>
        <v/>
      </c>
      <c r="AR104" s="32">
        <f t="shared" si="30"/>
        <v>0</v>
      </c>
      <c r="AS104" s="32">
        <f xml:space="preserve"> COUNTIF($B$11:B104,B104)</f>
        <v>0</v>
      </c>
      <c r="AT104" s="32" t="str">
        <f t="shared" si="36"/>
        <v>01N</v>
      </c>
      <c r="AU104" s="22" t="str">
        <f t="shared" si="31"/>
        <v/>
      </c>
      <c r="AV104" s="23">
        <f>SUMIF(Calculs!$A$2:$A$33,AU104,Calculs!$B$2:$B$33)</f>
        <v>0</v>
      </c>
      <c r="AW104" s="23">
        <f xml:space="preserve"> IF(K104&lt;&gt;"",IF(LEFT(K104,1)="S", Calculs!$B$49,0),0)</f>
        <v>0</v>
      </c>
      <c r="AX104" s="23">
        <f xml:space="preserve"> IF(L104&lt;&gt;"",IF(LEFT(L104,1)="S", Calculs!$B$47,0),0)</f>
        <v>0</v>
      </c>
      <c r="AY104" s="23">
        <f xml:space="preserve"> IF(M104&lt;&gt;"",IF(LEFT(M104,1)="S", Calculs!$B$48,0),0)</f>
        <v>0</v>
      </c>
      <c r="AZ104" s="29" t="str">
        <f t="shared" si="32"/>
        <v/>
      </c>
      <c r="BA104" s="29">
        <f>SUMIF(Calculs!$A$2:$A$33,AZ104,Calculs!$B$2:$B$33)</f>
        <v>0</v>
      </c>
      <c r="BB104" s="23">
        <f xml:space="preserve"> IF(Q104&lt;&gt;"",IF(LEFT(Q104,1)="S", Calculs!$B$48,0),0)</f>
        <v>0</v>
      </c>
      <c r="BC104" s="23">
        <f xml:space="preserve"> IF(R104&lt;&gt;"",IF(LEFT(R104,1)="S", Calculs!$B$47,0),0)</f>
        <v>0</v>
      </c>
      <c r="BD104" s="23">
        <f>SUMIF(Calculs!$A$40:$A$43,LEFT(S104,2),Calculs!$B$40:$B$43)</f>
        <v>0</v>
      </c>
      <c r="BE104" s="23">
        <f xml:space="preserve"> IF(U104&lt;&gt;"",IF(LEFT(U104,3)="ETT", Calculs!$B$36,0),0)</f>
        <v>0</v>
      </c>
      <c r="BF104" s="23">
        <f xml:space="preserve"> IF(V104&lt;&gt;"",IF(LEFT(V104,1)="S", Calculs!$B$47,0),0)</f>
        <v>0</v>
      </c>
      <c r="BG104" s="23">
        <f xml:space="preserve"> IF(W104&lt;&gt;"",IF(LEFT(W104,1)="S", Calculs!$B$48,0),0)</f>
        <v>0</v>
      </c>
      <c r="BH104" s="29" t="str">
        <f t="shared" si="33"/>
        <v/>
      </c>
      <c r="BI104" s="23">
        <f>SUMIF(Calculs!$A$32:$A$35,BH104,Calculs!$B$32:$B$35)</f>
        <v>0</v>
      </c>
      <c r="BJ104" s="185" t="str">
        <f t="shared" si="37"/>
        <v>N</v>
      </c>
      <c r="BK104" s="23">
        <f t="shared" si="38"/>
        <v>0</v>
      </c>
      <c r="BL104" s="23">
        <f>IF(AND(AR104&lt;&gt;0,BJ104="S"),VLOOKUP(AR104,Calculs!$A$53:$B$58,2,FALSE), 0)</f>
        <v>0</v>
      </c>
      <c r="BM104" s="16">
        <f t="shared" si="39"/>
        <v>0</v>
      </c>
    </row>
    <row r="105" spans="2:65" ht="13.8">
      <c r="B105" s="187"/>
      <c r="H105" s="12"/>
      <c r="I105" s="34"/>
      <c r="J105" s="34"/>
      <c r="K105" s="34"/>
      <c r="L105" s="34"/>
      <c r="M105" s="34"/>
      <c r="N105" s="34"/>
      <c r="O105" s="34"/>
      <c r="P105" s="34"/>
      <c r="Q105" s="34"/>
      <c r="R105" s="34"/>
      <c r="S105" s="34"/>
      <c r="T105" s="138"/>
      <c r="U105" s="186"/>
      <c r="V105" s="186"/>
      <c r="W105" s="186"/>
      <c r="AA105" s="138"/>
      <c r="AB105" s="138"/>
      <c r="AC105" s="138"/>
      <c r="AD105" s="139"/>
      <c r="AE105" s="140"/>
      <c r="AF105" s="141"/>
      <c r="AG105" s="141"/>
      <c r="AH105" s="141"/>
      <c r="AI105" s="142"/>
      <c r="AJ105" s="142"/>
      <c r="AK105" s="142"/>
      <c r="AL105" s="142"/>
      <c r="AM105" s="197"/>
      <c r="AN105" s="19"/>
      <c r="AO105" s="16" t="str">
        <f t="shared" si="34"/>
        <v/>
      </c>
      <c r="AP105" s="17" t="e">
        <f t="shared" si="35"/>
        <v>#N/A</v>
      </c>
      <c r="AQ105" s="25" t="str">
        <f t="shared" si="29"/>
        <v/>
      </c>
      <c r="AR105" s="32">
        <f t="shared" si="30"/>
        <v>0</v>
      </c>
      <c r="AS105" s="32">
        <f xml:space="preserve"> COUNTIF($B$11:B105,B105)</f>
        <v>0</v>
      </c>
      <c r="AT105" s="32" t="str">
        <f t="shared" si="36"/>
        <v>01N</v>
      </c>
      <c r="AU105" s="22" t="str">
        <f t="shared" si="31"/>
        <v/>
      </c>
      <c r="AV105" s="23">
        <f>SUMIF(Calculs!$A$2:$A$33,AU105,Calculs!$B$2:$B$33)</f>
        <v>0</v>
      </c>
      <c r="AW105" s="23">
        <f xml:space="preserve"> IF(K105&lt;&gt;"",IF(LEFT(K105,1)="S", Calculs!$B$49,0),0)</f>
        <v>0</v>
      </c>
      <c r="AX105" s="23">
        <f xml:space="preserve"> IF(L105&lt;&gt;"",IF(LEFT(L105,1)="S", Calculs!$B$47,0),0)</f>
        <v>0</v>
      </c>
      <c r="AY105" s="23">
        <f xml:space="preserve"> IF(M105&lt;&gt;"",IF(LEFT(M105,1)="S", Calculs!$B$48,0),0)</f>
        <v>0</v>
      </c>
      <c r="AZ105" s="29" t="str">
        <f t="shared" si="32"/>
        <v/>
      </c>
      <c r="BA105" s="29">
        <f>SUMIF(Calculs!$A$2:$A$33,AZ105,Calculs!$B$2:$B$33)</f>
        <v>0</v>
      </c>
      <c r="BB105" s="23">
        <f xml:space="preserve"> IF(Q105&lt;&gt;"",IF(LEFT(Q105,1)="S", Calculs!$B$48,0),0)</f>
        <v>0</v>
      </c>
      <c r="BC105" s="23">
        <f xml:space="preserve"> IF(R105&lt;&gt;"",IF(LEFT(R105,1)="S", Calculs!$B$47,0),0)</f>
        <v>0</v>
      </c>
      <c r="BD105" s="23">
        <f>SUMIF(Calculs!$A$40:$A$43,LEFT(S105,2),Calculs!$B$40:$B$43)</f>
        <v>0</v>
      </c>
      <c r="BE105" s="23">
        <f xml:space="preserve"> IF(U105&lt;&gt;"",IF(LEFT(U105,3)="ETT", Calculs!$B$36,0),0)</f>
        <v>0</v>
      </c>
      <c r="BF105" s="23">
        <f xml:space="preserve"> IF(V105&lt;&gt;"",IF(LEFT(V105,1)="S", Calculs!$B$47,0),0)</f>
        <v>0</v>
      </c>
      <c r="BG105" s="23">
        <f xml:space="preserve"> IF(W105&lt;&gt;"",IF(LEFT(W105,1)="S", Calculs!$B$48,0),0)</f>
        <v>0</v>
      </c>
      <c r="BH105" s="29" t="str">
        <f t="shared" si="33"/>
        <v/>
      </c>
      <c r="BI105" s="23">
        <f>SUMIF(Calculs!$A$32:$A$35,BH105,Calculs!$B$32:$B$35)</f>
        <v>0</v>
      </c>
      <c r="BJ105" s="185" t="str">
        <f t="shared" si="37"/>
        <v>N</v>
      </c>
      <c r="BK105" s="23">
        <f t="shared" si="38"/>
        <v>0</v>
      </c>
      <c r="BL105" s="23">
        <f>IF(AND(AR105&lt;&gt;0,BJ105="S"),VLOOKUP(AR105,Calculs!$A$53:$B$58,2,FALSE), 0)</f>
        <v>0</v>
      </c>
      <c r="BM105" s="16">
        <f t="shared" si="39"/>
        <v>0</v>
      </c>
    </row>
    <row r="106" spans="2:65" ht="13.8">
      <c r="B106" s="187"/>
      <c r="H106" s="12"/>
      <c r="I106" s="34"/>
      <c r="J106" s="34"/>
      <c r="K106" s="34"/>
      <c r="L106" s="34"/>
      <c r="M106" s="34"/>
      <c r="N106" s="34"/>
      <c r="O106" s="34"/>
      <c r="P106" s="34"/>
      <c r="Q106" s="34"/>
      <c r="R106" s="34"/>
      <c r="S106" s="34"/>
      <c r="T106" s="138"/>
      <c r="U106" s="186"/>
      <c r="V106" s="186"/>
      <c r="W106" s="186"/>
      <c r="AA106" s="138"/>
      <c r="AB106" s="138"/>
      <c r="AC106" s="138"/>
      <c r="AD106" s="139"/>
      <c r="AE106" s="140"/>
      <c r="AF106" s="141"/>
      <c r="AG106" s="141"/>
      <c r="AH106" s="141"/>
      <c r="AI106" s="142"/>
      <c r="AJ106" s="142"/>
      <c r="AK106" s="142"/>
      <c r="AL106" s="142"/>
      <c r="AM106" s="197"/>
      <c r="AN106" s="19"/>
      <c r="AO106" s="16" t="str">
        <f t="shared" si="34"/>
        <v/>
      </c>
      <c r="AP106" s="17" t="e">
        <f t="shared" si="35"/>
        <v>#N/A</v>
      </c>
      <c r="AQ106" s="25" t="str">
        <f t="shared" si="29"/>
        <v/>
      </c>
      <c r="AR106" s="32">
        <f t="shared" si="30"/>
        <v>0</v>
      </c>
      <c r="AS106" s="32">
        <f xml:space="preserve"> COUNTIF($B$11:B106,B106)</f>
        <v>0</v>
      </c>
      <c r="AT106" s="32" t="str">
        <f t="shared" si="36"/>
        <v>01N</v>
      </c>
      <c r="AU106" s="22" t="str">
        <f t="shared" si="31"/>
        <v/>
      </c>
      <c r="AV106" s="23">
        <f>SUMIF(Calculs!$A$2:$A$33,AU106,Calculs!$B$2:$B$33)</f>
        <v>0</v>
      </c>
      <c r="AW106" s="23">
        <f xml:space="preserve"> IF(K106&lt;&gt;"",IF(LEFT(K106,1)="S", Calculs!$B$49,0),0)</f>
        <v>0</v>
      </c>
      <c r="AX106" s="23">
        <f xml:space="preserve"> IF(L106&lt;&gt;"",IF(LEFT(L106,1)="S", Calculs!$B$47,0),0)</f>
        <v>0</v>
      </c>
      <c r="AY106" s="23">
        <f xml:space="preserve"> IF(M106&lt;&gt;"",IF(LEFT(M106,1)="S", Calculs!$B$48,0),0)</f>
        <v>0</v>
      </c>
      <c r="AZ106" s="29" t="str">
        <f t="shared" si="32"/>
        <v/>
      </c>
      <c r="BA106" s="29">
        <f>SUMIF(Calculs!$A$2:$A$33,AZ106,Calculs!$B$2:$B$33)</f>
        <v>0</v>
      </c>
      <c r="BB106" s="23">
        <f xml:space="preserve"> IF(Q106&lt;&gt;"",IF(LEFT(Q106,1)="S", Calculs!$B$48,0),0)</f>
        <v>0</v>
      </c>
      <c r="BC106" s="23">
        <f xml:space="preserve"> IF(R106&lt;&gt;"",IF(LEFT(R106,1)="S", Calculs!$B$47,0),0)</f>
        <v>0</v>
      </c>
      <c r="BD106" s="23">
        <f>SUMIF(Calculs!$A$40:$A$43,LEFT(S106,2),Calculs!$B$40:$B$43)</f>
        <v>0</v>
      </c>
      <c r="BE106" s="23">
        <f xml:space="preserve"> IF(U106&lt;&gt;"",IF(LEFT(U106,3)="ETT", Calculs!$B$36,0),0)</f>
        <v>0</v>
      </c>
      <c r="BF106" s="23">
        <f xml:space="preserve"> IF(V106&lt;&gt;"",IF(LEFT(V106,1)="S", Calculs!$B$47,0),0)</f>
        <v>0</v>
      </c>
      <c r="BG106" s="23">
        <f xml:space="preserve"> IF(W106&lt;&gt;"",IF(LEFT(W106,1)="S", Calculs!$B$48,0),0)</f>
        <v>0</v>
      </c>
      <c r="BH106" s="29" t="str">
        <f t="shared" si="33"/>
        <v/>
      </c>
      <c r="BI106" s="23">
        <f>SUMIF(Calculs!$A$32:$A$35,BH106,Calculs!$B$32:$B$35)</f>
        <v>0</v>
      </c>
      <c r="BJ106" s="185" t="str">
        <f t="shared" si="37"/>
        <v>N</v>
      </c>
      <c r="BK106" s="23">
        <f t="shared" si="38"/>
        <v>0</v>
      </c>
      <c r="BL106" s="23">
        <f>IF(AND(AR106&lt;&gt;0,BJ106="S"),VLOOKUP(AR106,Calculs!$A$53:$B$58,2,FALSE), 0)</f>
        <v>0</v>
      </c>
      <c r="BM106" s="16">
        <f t="shared" si="39"/>
        <v>0</v>
      </c>
    </row>
    <row r="107" spans="2:65" ht="13.8">
      <c r="B107" s="187"/>
      <c r="H107" s="12"/>
      <c r="I107" s="34"/>
      <c r="J107" s="34"/>
      <c r="K107" s="34"/>
      <c r="L107" s="34"/>
      <c r="M107" s="34"/>
      <c r="N107" s="34"/>
      <c r="O107" s="34"/>
      <c r="P107" s="34"/>
      <c r="Q107" s="34"/>
      <c r="R107" s="34"/>
      <c r="S107" s="34"/>
      <c r="T107" s="138"/>
      <c r="U107" s="186"/>
      <c r="V107" s="186"/>
      <c r="W107" s="186"/>
      <c r="AA107" s="138"/>
      <c r="AB107" s="138"/>
      <c r="AC107" s="138"/>
      <c r="AD107" s="139"/>
      <c r="AE107" s="140"/>
      <c r="AF107" s="141"/>
      <c r="AG107" s="141"/>
      <c r="AH107" s="141"/>
      <c r="AI107" s="142"/>
      <c r="AJ107" s="142"/>
      <c r="AK107" s="142"/>
      <c r="AL107" s="142"/>
      <c r="AM107" s="197"/>
      <c r="AN107" s="19"/>
      <c r="AO107" s="16" t="str">
        <f t="shared" si="34"/>
        <v/>
      </c>
      <c r="AP107" s="17" t="e">
        <f t="shared" si="35"/>
        <v>#N/A</v>
      </c>
      <c r="AQ107" s="25" t="str">
        <f t="shared" si="29"/>
        <v/>
      </c>
      <c r="AR107" s="32">
        <f t="shared" si="30"/>
        <v>0</v>
      </c>
      <c r="AS107" s="32">
        <f xml:space="preserve"> COUNTIF($B$11:B107,B107)</f>
        <v>0</v>
      </c>
      <c r="AT107" s="32" t="str">
        <f t="shared" si="36"/>
        <v>01N</v>
      </c>
      <c r="AU107" s="22" t="str">
        <f t="shared" si="31"/>
        <v/>
      </c>
      <c r="AV107" s="23">
        <f>SUMIF(Calculs!$A$2:$A$33,AU107,Calculs!$B$2:$B$33)</f>
        <v>0</v>
      </c>
      <c r="AW107" s="23">
        <f xml:space="preserve"> IF(K107&lt;&gt;"",IF(LEFT(K107,1)="S", Calculs!$B$49,0),0)</f>
        <v>0</v>
      </c>
      <c r="AX107" s="23">
        <f xml:space="preserve"> IF(L107&lt;&gt;"",IF(LEFT(L107,1)="S", Calculs!$B$47,0),0)</f>
        <v>0</v>
      </c>
      <c r="AY107" s="23">
        <f xml:space="preserve"> IF(M107&lt;&gt;"",IF(LEFT(M107,1)="S", Calculs!$B$48,0),0)</f>
        <v>0</v>
      </c>
      <c r="AZ107" s="29" t="str">
        <f t="shared" si="32"/>
        <v/>
      </c>
      <c r="BA107" s="29">
        <f>SUMIF(Calculs!$A$2:$A$33,AZ107,Calculs!$B$2:$B$33)</f>
        <v>0</v>
      </c>
      <c r="BB107" s="23">
        <f xml:space="preserve"> IF(Q107&lt;&gt;"",IF(LEFT(Q107,1)="S", Calculs!$B$48,0),0)</f>
        <v>0</v>
      </c>
      <c r="BC107" s="23">
        <f xml:space="preserve"> IF(R107&lt;&gt;"",IF(LEFT(R107,1)="S", Calculs!$B$47,0),0)</f>
        <v>0</v>
      </c>
      <c r="BD107" s="23">
        <f>SUMIF(Calculs!$A$40:$A$43,LEFT(S107,2),Calculs!$B$40:$B$43)</f>
        <v>0</v>
      </c>
      <c r="BE107" s="23">
        <f xml:space="preserve"> IF(U107&lt;&gt;"",IF(LEFT(U107,3)="ETT", Calculs!$B$36,0),0)</f>
        <v>0</v>
      </c>
      <c r="BF107" s="23">
        <f xml:space="preserve"> IF(V107&lt;&gt;"",IF(LEFT(V107,1)="S", Calculs!$B$47,0),0)</f>
        <v>0</v>
      </c>
      <c r="BG107" s="23">
        <f xml:space="preserve"> IF(W107&lt;&gt;"",IF(LEFT(W107,1)="S", Calculs!$B$48,0),0)</f>
        <v>0</v>
      </c>
      <c r="BH107" s="29" t="str">
        <f t="shared" si="33"/>
        <v/>
      </c>
      <c r="BI107" s="23">
        <f>SUMIF(Calculs!$A$32:$A$35,BH107,Calculs!$B$32:$B$35)</f>
        <v>0</v>
      </c>
      <c r="BJ107" s="185" t="str">
        <f t="shared" si="37"/>
        <v>N</v>
      </c>
      <c r="BK107" s="23">
        <f t="shared" si="38"/>
        <v>0</v>
      </c>
      <c r="BL107" s="23">
        <f>IF(AND(AR107&lt;&gt;0,BJ107="S"),VLOOKUP(AR107,Calculs!$A$53:$B$58,2,FALSE), 0)</f>
        <v>0</v>
      </c>
      <c r="BM107" s="16">
        <f t="shared" si="39"/>
        <v>0</v>
      </c>
    </row>
    <row r="108" spans="2:65" ht="13.8">
      <c r="B108" s="187"/>
      <c r="H108" s="12"/>
      <c r="I108" s="34"/>
      <c r="J108" s="34"/>
      <c r="K108" s="34"/>
      <c r="L108" s="34"/>
      <c r="M108" s="34"/>
      <c r="N108" s="34"/>
      <c r="O108" s="34"/>
      <c r="P108" s="34"/>
      <c r="Q108" s="34"/>
      <c r="R108" s="34"/>
      <c r="S108" s="34"/>
      <c r="T108" s="138"/>
      <c r="U108" s="186"/>
      <c r="V108" s="186"/>
      <c r="W108" s="186"/>
      <c r="AA108" s="138"/>
      <c r="AB108" s="138"/>
      <c r="AC108" s="138"/>
      <c r="AD108" s="139"/>
      <c r="AE108" s="140"/>
      <c r="AF108" s="141"/>
      <c r="AG108" s="141"/>
      <c r="AH108" s="141"/>
      <c r="AI108" s="142"/>
      <c r="AJ108" s="142"/>
      <c r="AK108" s="142"/>
      <c r="AL108" s="142"/>
      <c r="AM108" s="197"/>
      <c r="AN108" s="19"/>
      <c r="AO108" s="16" t="str">
        <f t="shared" si="34"/>
        <v/>
      </c>
      <c r="AP108" s="17" t="e">
        <f t="shared" si="35"/>
        <v>#N/A</v>
      </c>
      <c r="AQ108" s="25" t="str">
        <f t="shared" si="29"/>
        <v/>
      </c>
      <c r="AR108" s="32">
        <f t="shared" si="30"/>
        <v>0</v>
      </c>
      <c r="AS108" s="32">
        <f xml:space="preserve"> COUNTIF($B$11:B108,B108)</f>
        <v>0</v>
      </c>
      <c r="AT108" s="32" t="str">
        <f t="shared" si="36"/>
        <v>01N</v>
      </c>
      <c r="AU108" s="22" t="str">
        <f t="shared" si="31"/>
        <v/>
      </c>
      <c r="AV108" s="23">
        <f>SUMIF(Calculs!$A$2:$A$33,AU108,Calculs!$B$2:$B$33)</f>
        <v>0</v>
      </c>
      <c r="AW108" s="23">
        <f xml:space="preserve"> IF(K108&lt;&gt;"",IF(LEFT(K108,1)="S", Calculs!$B$49,0),0)</f>
        <v>0</v>
      </c>
      <c r="AX108" s="23">
        <f xml:space="preserve"> IF(L108&lt;&gt;"",IF(LEFT(L108,1)="S", Calculs!$B$47,0),0)</f>
        <v>0</v>
      </c>
      <c r="AY108" s="23">
        <f xml:space="preserve"> IF(M108&lt;&gt;"",IF(LEFT(M108,1)="S", Calculs!$B$48,0),0)</f>
        <v>0</v>
      </c>
      <c r="AZ108" s="29" t="str">
        <f t="shared" si="32"/>
        <v/>
      </c>
      <c r="BA108" s="29">
        <f>SUMIF(Calculs!$A$2:$A$33,AZ108,Calculs!$B$2:$B$33)</f>
        <v>0</v>
      </c>
      <c r="BB108" s="23">
        <f xml:space="preserve"> IF(Q108&lt;&gt;"",IF(LEFT(Q108,1)="S", Calculs!$B$48,0),0)</f>
        <v>0</v>
      </c>
      <c r="BC108" s="23">
        <f xml:space="preserve"> IF(R108&lt;&gt;"",IF(LEFT(R108,1)="S", Calculs!$B$47,0),0)</f>
        <v>0</v>
      </c>
      <c r="BD108" s="23">
        <f>SUMIF(Calculs!$A$40:$A$43,LEFT(S108,2),Calculs!$B$40:$B$43)</f>
        <v>0</v>
      </c>
      <c r="BE108" s="23">
        <f xml:space="preserve"> IF(U108&lt;&gt;"",IF(LEFT(U108,3)="ETT", Calculs!$B$36,0),0)</f>
        <v>0</v>
      </c>
      <c r="BF108" s="23">
        <f xml:space="preserve"> IF(V108&lt;&gt;"",IF(LEFT(V108,1)="S", Calculs!$B$47,0),0)</f>
        <v>0</v>
      </c>
      <c r="BG108" s="23">
        <f xml:space="preserve"> IF(W108&lt;&gt;"",IF(LEFT(W108,1)="S", Calculs!$B$48,0),0)</f>
        <v>0</v>
      </c>
      <c r="BH108" s="29" t="str">
        <f t="shared" si="33"/>
        <v/>
      </c>
      <c r="BI108" s="23">
        <f>SUMIF(Calculs!$A$32:$A$35,BH108,Calculs!$B$32:$B$35)</f>
        <v>0</v>
      </c>
      <c r="BJ108" s="185" t="str">
        <f t="shared" si="37"/>
        <v>N</v>
      </c>
      <c r="BK108" s="23">
        <f t="shared" si="38"/>
        <v>0</v>
      </c>
      <c r="BL108" s="23">
        <f>IF(AND(AR108&lt;&gt;0,BJ108="S"),VLOOKUP(AR108,Calculs!$A$53:$B$58,2,FALSE), 0)</f>
        <v>0</v>
      </c>
      <c r="BM108" s="16">
        <f t="shared" si="39"/>
        <v>0</v>
      </c>
    </row>
    <row r="109" spans="2:65" ht="13.8">
      <c r="B109" s="187"/>
      <c r="H109" s="12"/>
      <c r="I109" s="34"/>
      <c r="J109" s="34"/>
      <c r="K109" s="34"/>
      <c r="L109" s="34"/>
      <c r="M109" s="34"/>
      <c r="N109" s="34"/>
      <c r="O109" s="34"/>
      <c r="P109" s="34"/>
      <c r="Q109" s="34"/>
      <c r="R109" s="34"/>
      <c r="S109" s="34"/>
      <c r="T109" s="138"/>
      <c r="U109" s="186"/>
      <c r="V109" s="186"/>
      <c r="W109" s="186"/>
      <c r="AA109" s="138"/>
      <c r="AB109" s="138"/>
      <c r="AC109" s="138"/>
      <c r="AD109" s="139"/>
      <c r="AE109" s="140"/>
      <c r="AF109" s="141"/>
      <c r="AG109" s="141"/>
      <c r="AH109" s="141"/>
      <c r="AI109" s="142"/>
      <c r="AJ109" s="142"/>
      <c r="AK109" s="142"/>
      <c r="AL109" s="142"/>
      <c r="AM109" s="197"/>
      <c r="AN109" s="19"/>
      <c r="AO109" s="16" t="str">
        <f t="shared" si="34"/>
        <v/>
      </c>
      <c r="AP109" s="17" t="e">
        <f t="shared" si="35"/>
        <v>#N/A</v>
      </c>
      <c r="AQ109" s="25" t="str">
        <f t="shared" si="29"/>
        <v/>
      </c>
      <c r="AR109" s="32">
        <f t="shared" si="30"/>
        <v>0</v>
      </c>
      <c r="AS109" s="32">
        <f xml:space="preserve"> COUNTIF($B$11:B109,B109)</f>
        <v>0</v>
      </c>
      <c r="AT109" s="32" t="str">
        <f t="shared" si="36"/>
        <v>01N</v>
      </c>
      <c r="AU109" s="22" t="str">
        <f t="shared" si="31"/>
        <v/>
      </c>
      <c r="AV109" s="23">
        <f>SUMIF(Calculs!$A$2:$A$33,AU109,Calculs!$B$2:$B$33)</f>
        <v>0</v>
      </c>
      <c r="AW109" s="23">
        <f xml:space="preserve"> IF(K109&lt;&gt;"",IF(LEFT(K109,1)="S", Calculs!$B$49,0),0)</f>
        <v>0</v>
      </c>
      <c r="AX109" s="23">
        <f xml:space="preserve"> IF(L109&lt;&gt;"",IF(LEFT(L109,1)="S", Calculs!$B$47,0),0)</f>
        <v>0</v>
      </c>
      <c r="AY109" s="23">
        <f xml:space="preserve"> IF(M109&lt;&gt;"",IF(LEFT(M109,1)="S", Calculs!$B$48,0),0)</f>
        <v>0</v>
      </c>
      <c r="AZ109" s="29" t="str">
        <f t="shared" si="32"/>
        <v/>
      </c>
      <c r="BA109" s="29">
        <f>SUMIF(Calculs!$A$2:$A$33,AZ109,Calculs!$B$2:$B$33)</f>
        <v>0</v>
      </c>
      <c r="BB109" s="23">
        <f xml:space="preserve"> IF(Q109&lt;&gt;"",IF(LEFT(Q109,1)="S", Calculs!$B$48,0),0)</f>
        <v>0</v>
      </c>
      <c r="BC109" s="23">
        <f xml:space="preserve"> IF(R109&lt;&gt;"",IF(LEFT(R109,1)="S", Calculs!$B$47,0),0)</f>
        <v>0</v>
      </c>
      <c r="BD109" s="23">
        <f>SUMIF(Calculs!$A$40:$A$43,LEFT(S109,2),Calculs!$B$40:$B$43)</f>
        <v>0</v>
      </c>
      <c r="BE109" s="23">
        <f xml:space="preserve"> IF(U109&lt;&gt;"",IF(LEFT(U109,3)="ETT", Calculs!$B$36,0),0)</f>
        <v>0</v>
      </c>
      <c r="BF109" s="23">
        <f xml:space="preserve"> IF(V109&lt;&gt;"",IF(LEFT(V109,1)="S", Calculs!$B$47,0),0)</f>
        <v>0</v>
      </c>
      <c r="BG109" s="23">
        <f xml:space="preserve"> IF(W109&lt;&gt;"",IF(LEFT(W109,1)="S", Calculs!$B$48,0),0)</f>
        <v>0</v>
      </c>
      <c r="BH109" s="29" t="str">
        <f t="shared" si="33"/>
        <v/>
      </c>
      <c r="BI109" s="23">
        <f>SUMIF(Calculs!$A$32:$A$35,BH109,Calculs!$B$32:$B$35)</f>
        <v>0</v>
      </c>
      <c r="BJ109" s="185" t="str">
        <f t="shared" si="37"/>
        <v>N</v>
      </c>
      <c r="BK109" s="23">
        <f t="shared" si="38"/>
        <v>0</v>
      </c>
      <c r="BL109" s="23">
        <f>IF(AND(AR109&lt;&gt;0,BJ109="S"),VLOOKUP(AR109,Calculs!$A$53:$B$58,2,FALSE), 0)</f>
        <v>0</v>
      </c>
      <c r="BM109" s="16">
        <f t="shared" si="39"/>
        <v>0</v>
      </c>
    </row>
    <row r="110" spans="2:65" ht="13.8">
      <c r="B110" s="187"/>
      <c r="H110" s="12"/>
      <c r="I110" s="34"/>
      <c r="J110" s="34"/>
      <c r="K110" s="34"/>
      <c r="L110" s="34"/>
      <c r="M110" s="34"/>
      <c r="N110" s="34"/>
      <c r="O110" s="34"/>
      <c r="P110" s="34"/>
      <c r="Q110" s="34"/>
      <c r="R110" s="34"/>
      <c r="S110" s="34"/>
      <c r="T110" s="138"/>
      <c r="U110" s="186"/>
      <c r="V110" s="186"/>
      <c r="W110" s="186"/>
      <c r="AA110" s="138"/>
      <c r="AB110" s="138"/>
      <c r="AC110" s="138"/>
      <c r="AD110" s="139"/>
      <c r="AE110" s="140"/>
      <c r="AF110" s="141"/>
      <c r="AG110" s="141"/>
      <c r="AH110" s="141"/>
      <c r="AI110" s="142"/>
      <c r="AJ110" s="142"/>
      <c r="AK110" s="142"/>
      <c r="AL110" s="142"/>
      <c r="AM110" s="197"/>
      <c r="AN110" s="19"/>
      <c r="AO110" s="16" t="str">
        <f t="shared" si="34"/>
        <v/>
      </c>
      <c r="AP110" s="17" t="e">
        <f t="shared" si="35"/>
        <v>#N/A</v>
      </c>
      <c r="AQ110" s="25" t="str">
        <f t="shared" si="29"/>
        <v/>
      </c>
      <c r="AR110" s="32">
        <f t="shared" si="30"/>
        <v>0</v>
      </c>
      <c r="AS110" s="32">
        <f xml:space="preserve"> COUNTIF($B$11:B110,B110)</f>
        <v>0</v>
      </c>
      <c r="AT110" s="32" t="str">
        <f t="shared" si="36"/>
        <v>01N</v>
      </c>
      <c r="AU110" s="22" t="str">
        <f t="shared" si="31"/>
        <v/>
      </c>
      <c r="AV110" s="23">
        <f>SUMIF(Calculs!$A$2:$A$33,AU110,Calculs!$B$2:$B$33)</f>
        <v>0</v>
      </c>
      <c r="AW110" s="23">
        <f xml:space="preserve"> IF(K110&lt;&gt;"",IF(LEFT(K110,1)="S", Calculs!$B$49,0),0)</f>
        <v>0</v>
      </c>
      <c r="AX110" s="23">
        <f xml:space="preserve"> IF(L110&lt;&gt;"",IF(LEFT(L110,1)="S", Calculs!$B$47,0),0)</f>
        <v>0</v>
      </c>
      <c r="AY110" s="23">
        <f xml:space="preserve"> IF(M110&lt;&gt;"",IF(LEFT(M110,1)="S", Calculs!$B$48,0),0)</f>
        <v>0</v>
      </c>
      <c r="AZ110" s="29" t="str">
        <f t="shared" si="32"/>
        <v/>
      </c>
      <c r="BA110" s="29">
        <f>SUMIF(Calculs!$A$2:$A$33,AZ110,Calculs!$B$2:$B$33)</f>
        <v>0</v>
      </c>
      <c r="BB110" s="23">
        <f xml:space="preserve"> IF(Q110&lt;&gt;"",IF(LEFT(Q110,1)="S", Calculs!$B$48,0),0)</f>
        <v>0</v>
      </c>
      <c r="BC110" s="23">
        <f xml:space="preserve"> IF(R110&lt;&gt;"",IF(LEFT(R110,1)="S", Calculs!$B$47,0),0)</f>
        <v>0</v>
      </c>
      <c r="BD110" s="23">
        <f>SUMIF(Calculs!$A$40:$A$43,LEFT(S110,2),Calculs!$B$40:$B$43)</f>
        <v>0</v>
      </c>
      <c r="BE110" s="23">
        <f xml:space="preserve"> IF(U110&lt;&gt;"",IF(LEFT(U110,3)="ETT", Calculs!$B$36,0),0)</f>
        <v>0</v>
      </c>
      <c r="BF110" s="23">
        <f xml:space="preserve"> IF(V110&lt;&gt;"",IF(LEFT(V110,1)="S", Calculs!$B$47,0),0)</f>
        <v>0</v>
      </c>
      <c r="BG110" s="23">
        <f xml:space="preserve"> IF(W110&lt;&gt;"",IF(LEFT(W110,1)="S", Calculs!$B$48,0),0)</f>
        <v>0</v>
      </c>
      <c r="BH110" s="29" t="str">
        <f t="shared" si="33"/>
        <v/>
      </c>
      <c r="BI110" s="23">
        <f>SUMIF(Calculs!$A$32:$A$35,BH110,Calculs!$B$32:$B$35)</f>
        <v>0</v>
      </c>
      <c r="BJ110" s="185" t="str">
        <f t="shared" si="37"/>
        <v>N</v>
      </c>
      <c r="BK110" s="23">
        <f t="shared" si="38"/>
        <v>0</v>
      </c>
      <c r="BL110" s="23">
        <f>IF(AND(AR110&lt;&gt;0,BJ110="S"),VLOOKUP(AR110,Calculs!$A$53:$B$58,2,FALSE), 0)</f>
        <v>0</v>
      </c>
      <c r="BM110" s="16">
        <f t="shared" si="39"/>
        <v>0</v>
      </c>
    </row>
    <row r="111" spans="2:65" s="132" customFormat="1">
      <c r="Z111" s="194"/>
      <c r="AD111" s="133"/>
      <c r="AM111" s="198"/>
      <c r="AQ111" s="134"/>
      <c r="AR111" s="134"/>
      <c r="AS111" s="134"/>
      <c r="AT111" s="134"/>
      <c r="AZ111" s="134"/>
      <c r="BA111" s="134"/>
      <c r="BJ111" s="134"/>
    </row>
  </sheetData>
  <mergeCells count="8">
    <mergeCell ref="AA4:AK4"/>
    <mergeCell ref="AO4:BM4"/>
    <mergeCell ref="B2:E2"/>
    <mergeCell ref="AO8:BM8"/>
    <mergeCell ref="AU9:AY9"/>
    <mergeCell ref="AZ9:BC9"/>
    <mergeCell ref="BE9:BG9"/>
    <mergeCell ref="BH9:BI9"/>
  </mergeCells>
  <conditionalFormatting sqref="AE6">
    <cfRule type="cellIs" dxfId="4" priority="1" operator="greaterThan">
      <formula>1695</formula>
    </cfRule>
  </conditionalFormatting>
  <pageMargins left="0.7" right="0.7" top="0.75" bottom="0.75" header="0.3" footer="0.3"/>
  <pageSetup paperSize="9" orientation="portrait" horizontalDpi="0" verticalDpi="0" r:id="rId1"/>
  <extLst>
    <ext xmlns:x14="http://schemas.microsoft.com/office/spreadsheetml/2009/9/main" uri="{CCE6A557-97BC-4b89-ADB6-D9C93CAAB3DF}">
      <x14:dataValidations xmlns:xm="http://schemas.microsoft.com/office/excel/2006/main" count="14">
        <x14:dataValidation type="list" allowBlank="1" showInputMessage="1" showErrorMessage="1">
          <x14:formula1>
            <xm:f>Llistes!$A$69:$A$70</xm:f>
          </x14:formula1>
          <xm:sqref>U5:U6</xm:sqref>
        </x14:dataValidation>
        <x14:dataValidation type="list" allowBlank="1" showInputMessage="1" showErrorMessage="1">
          <x14:formula1>
            <xm:f>Llistes!$A$63:$A$66</xm:f>
          </x14:formula1>
          <xm:sqref>T5:T6</xm:sqref>
        </x14:dataValidation>
        <x14:dataValidation type="list" allowBlank="1" showInputMessage="1" showErrorMessage="1">
          <x14:formula1>
            <xm:f>Llistes!$A$36:$A$40</xm:f>
          </x14:formula1>
          <xm:sqref>S5:S6</xm:sqref>
        </x14:dataValidation>
        <x14:dataValidation type="list" allowBlank="1" showInputMessage="1" showErrorMessage="1">
          <x14:formula1>
            <xm:f>Llistes!$A$59:$A$60</xm:f>
          </x14:formula1>
          <xm:sqref>P5:P6</xm:sqref>
        </x14:dataValidation>
        <x14:dataValidation type="list" allowBlank="1" showInputMessage="1" showErrorMessage="1">
          <x14:formula1>
            <xm:f>Llistes!$A$26:$A$33</xm:f>
          </x14:formula1>
          <xm:sqref>N5:N6</xm:sqref>
        </x14:dataValidation>
        <x14:dataValidation type="list" allowBlank="1" showInputMessage="1" showErrorMessage="1">
          <x14:formula1>
            <xm:f>Llistes!$A$55:$A$56</xm:f>
          </x14:formula1>
          <xm:sqref>M5:M6 Q5:Q6 W5:W6</xm:sqref>
        </x14:dataValidation>
        <x14:dataValidation type="list" allowBlank="1" showInputMessage="1" showErrorMessage="1">
          <x14:formula1>
            <xm:f>Llistes!$A$51:$A$52</xm:f>
          </x14:formula1>
          <xm:sqref>L5:L6 R5:R6 V5:V6</xm:sqref>
        </x14:dataValidation>
        <x14:dataValidation type="list" allowBlank="1" showInputMessage="1" showErrorMessage="1">
          <x14:formula1>
            <xm:f>Llistes!$A$47:$A$48</xm:f>
          </x14:formula1>
          <xm:sqref>K5:K6</xm:sqref>
        </x14:dataValidation>
        <x14:dataValidation type="list" allowBlank="1" showInputMessage="1" showErrorMessage="1">
          <x14:formula1>
            <xm:f>Llistes!$A$43:$A$44</xm:f>
          </x14:formula1>
          <xm:sqref>J5:J6 O5:O6</xm:sqref>
        </x14:dataValidation>
        <x14:dataValidation type="list" allowBlank="1" showInputMessage="1" showErrorMessage="1">
          <x14:formula1>
            <xm:f>Llistes!$A$18:$A$23</xm:f>
          </x14:formula1>
          <xm:sqref>I5:I6 I11</xm:sqref>
        </x14:dataValidation>
        <x14:dataValidation type="list" allowBlank="1" showInputMessage="1" showErrorMessage="1">
          <x14:formula1>
            <xm:f>Llistes!$A$10:$A$15</xm:f>
          </x14:formula1>
          <xm:sqref>H5:H6 H11</xm:sqref>
        </x14:dataValidation>
        <x14:dataValidation type="list" allowBlank="1" showInputMessage="1" showErrorMessage="1">
          <x14:formula1>
            <xm:f>Llistes!$A$2:$A$7</xm:f>
          </x14:formula1>
          <xm:sqref>C5:C6</xm:sqref>
        </x14:dataValidation>
        <x14:dataValidation type="list" allowBlank="1" showInputMessage="1" showErrorMessage="1">
          <x14:formula1>
            <xm:f>Finançament!#REF!</xm:f>
          </x14:formula1>
          <xm:sqref>B3:E3</xm:sqref>
        </x14:dataValidation>
        <x14:dataValidation type="list" allowBlank="1" showInputMessage="1" showErrorMessage="1">
          <x14:formula1>
            <xm:f>Finançament!$A$3:$A$56</xm:f>
          </x14:formula1>
          <xm:sqref>B2:E2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0"/>
  <sheetViews>
    <sheetView workbookViewId="0"/>
  </sheetViews>
  <sheetFormatPr baseColWidth="10" defaultColWidth="14.44140625" defaultRowHeight="15.75" customHeight="1"/>
  <cols>
    <col min="1" max="1" width="117.88671875" customWidth="1"/>
    <col min="2" max="2" width="23.109375" customWidth="1"/>
  </cols>
  <sheetData>
    <row r="1" spans="1:2" ht="13.2">
      <c r="A1" s="4" t="s">
        <v>197</v>
      </c>
    </row>
    <row r="2" spans="1:2" ht="13.2">
      <c r="A2" s="1" t="s">
        <v>0</v>
      </c>
      <c r="B2" s="43" t="s">
        <v>59</v>
      </c>
    </row>
    <row r="3" spans="1:2" ht="13.2">
      <c r="A3" s="1" t="s">
        <v>3</v>
      </c>
      <c r="B3" s="43" t="s">
        <v>60</v>
      </c>
    </row>
    <row r="4" spans="1:2" ht="13.2">
      <c r="A4" s="1" t="s">
        <v>8</v>
      </c>
      <c r="B4" s="43" t="s">
        <v>8</v>
      </c>
    </row>
    <row r="5" spans="1:2" ht="13.2">
      <c r="A5" s="1" t="s">
        <v>9</v>
      </c>
      <c r="B5" s="43" t="s">
        <v>9</v>
      </c>
    </row>
    <row r="6" spans="1:2" ht="13.2">
      <c r="A6" s="1" t="s">
        <v>11</v>
      </c>
      <c r="B6" s="43" t="s">
        <v>11</v>
      </c>
    </row>
    <row r="7" spans="1:2" ht="13.2">
      <c r="A7" s="1" t="s">
        <v>14</v>
      </c>
      <c r="B7" s="43" t="s">
        <v>14</v>
      </c>
    </row>
    <row r="9" spans="1:2" ht="13.2">
      <c r="A9" s="4" t="s">
        <v>18</v>
      </c>
    </row>
    <row r="10" spans="1:2" ht="13.2">
      <c r="A10" s="1" t="s">
        <v>1</v>
      </c>
    </row>
    <row r="11" spans="1:2" ht="13.2">
      <c r="A11" s="1" t="s">
        <v>4</v>
      </c>
    </row>
    <row r="12" spans="1:2" ht="13.2">
      <c r="A12" s="1" t="s">
        <v>210</v>
      </c>
    </row>
    <row r="13" spans="1:2" ht="13.2">
      <c r="A13" s="1" t="s">
        <v>10</v>
      </c>
    </row>
    <row r="14" spans="1:2" ht="13.2">
      <c r="A14" s="1" t="s">
        <v>12</v>
      </c>
    </row>
    <row r="15" spans="1:2" ht="13.2">
      <c r="A15" s="1" t="s">
        <v>15</v>
      </c>
    </row>
    <row r="17" spans="1:1" ht="13.2">
      <c r="A17" s="4" t="s">
        <v>19</v>
      </c>
    </row>
    <row r="18" spans="1:1" ht="13.2">
      <c r="A18" s="42" t="s">
        <v>159</v>
      </c>
    </row>
    <row r="19" spans="1:1" ht="13.2">
      <c r="A19" s="42" t="s">
        <v>160</v>
      </c>
    </row>
    <row r="20" spans="1:1" ht="13.2">
      <c r="A20" s="42" t="s">
        <v>161</v>
      </c>
    </row>
    <row r="21" spans="1:1" ht="13.2">
      <c r="A21" s="42" t="s">
        <v>162</v>
      </c>
    </row>
    <row r="22" spans="1:1" ht="13.2">
      <c r="A22" s="42" t="s">
        <v>209</v>
      </c>
    </row>
    <row r="23" spans="1:1" ht="13.2">
      <c r="A23" s="42" t="s">
        <v>208</v>
      </c>
    </row>
    <row r="25" spans="1:1" ht="13.2">
      <c r="A25" s="4" t="s">
        <v>24</v>
      </c>
    </row>
    <row r="26" spans="1:1" ht="13.2">
      <c r="A26" s="42" t="s">
        <v>164</v>
      </c>
    </row>
    <row r="27" spans="1:1" ht="13.2">
      <c r="A27" s="42" t="s">
        <v>165</v>
      </c>
    </row>
    <row r="28" spans="1:1" ht="13.2">
      <c r="A28" s="42" t="s">
        <v>166</v>
      </c>
    </row>
    <row r="29" spans="1:1" ht="13.2">
      <c r="A29" s="42" t="s">
        <v>167</v>
      </c>
    </row>
    <row r="30" spans="1:1" ht="13.2">
      <c r="A30" s="42" t="s">
        <v>163</v>
      </c>
    </row>
    <row r="31" spans="1:1" ht="13.2">
      <c r="A31" s="42" t="s">
        <v>168</v>
      </c>
    </row>
    <row r="32" spans="1:1" ht="13.2">
      <c r="A32" s="42" t="s">
        <v>169</v>
      </c>
    </row>
    <row r="33" spans="1:1" ht="13.2">
      <c r="A33" s="42" t="s">
        <v>170</v>
      </c>
    </row>
    <row r="35" spans="1:1" ht="13.2">
      <c r="A35" s="4" t="s">
        <v>27</v>
      </c>
    </row>
    <row r="36" spans="1:1" ht="13.2">
      <c r="A36" s="87" t="s">
        <v>219</v>
      </c>
    </row>
    <row r="37" spans="1:1" ht="13.2">
      <c r="A37" s="87" t="s">
        <v>218</v>
      </c>
    </row>
    <row r="38" spans="1:1" ht="13.2">
      <c r="A38" s="87" t="s">
        <v>217</v>
      </c>
    </row>
    <row r="39" spans="1:1" ht="13.2">
      <c r="A39" s="87" t="s">
        <v>216</v>
      </c>
    </row>
    <row r="40" spans="1:1" ht="13.2">
      <c r="A40" s="1" t="s">
        <v>13</v>
      </c>
    </row>
    <row r="42" spans="1:1" ht="15.75" customHeight="1">
      <c r="A42" s="14" t="s">
        <v>20</v>
      </c>
    </row>
    <row r="43" spans="1:1" ht="15.75" customHeight="1">
      <c r="A43" s="43" t="s">
        <v>171</v>
      </c>
    </row>
    <row r="44" spans="1:1" ht="15.75" customHeight="1">
      <c r="A44" t="s">
        <v>5</v>
      </c>
    </row>
    <row r="46" spans="1:1" ht="15.75" customHeight="1">
      <c r="A46" s="14" t="s">
        <v>21</v>
      </c>
    </row>
    <row r="47" spans="1:1" ht="15.75" customHeight="1">
      <c r="A47" s="43" t="s">
        <v>215</v>
      </c>
    </row>
    <row r="48" spans="1:1" ht="15.75" customHeight="1">
      <c r="A48" t="s">
        <v>6</v>
      </c>
    </row>
    <row r="50" spans="1:1" ht="15.75" customHeight="1">
      <c r="A50" s="14" t="s">
        <v>22</v>
      </c>
    </row>
    <row r="51" spans="1:1" ht="15.75" customHeight="1">
      <c r="A51" s="43" t="s">
        <v>220</v>
      </c>
    </row>
    <row r="52" spans="1:1" ht="15.75" customHeight="1">
      <c r="A52" t="s">
        <v>6</v>
      </c>
    </row>
    <row r="54" spans="1:1" ht="15.75" customHeight="1">
      <c r="A54" s="14" t="s">
        <v>23</v>
      </c>
    </row>
    <row r="55" spans="1:1" ht="15.75" customHeight="1">
      <c r="A55" s="43" t="s">
        <v>220</v>
      </c>
    </row>
    <row r="56" spans="1:1" ht="15.75" customHeight="1">
      <c r="A56" t="s">
        <v>6</v>
      </c>
    </row>
    <row r="58" spans="1:1" ht="15.75" customHeight="1">
      <c r="A58" s="14" t="s">
        <v>25</v>
      </c>
    </row>
    <row r="59" spans="1:1" ht="15.75" customHeight="1">
      <c r="A59" t="s">
        <v>2</v>
      </c>
    </row>
    <row r="60" spans="1:1" ht="15.75" customHeight="1">
      <c r="A60" t="s">
        <v>7</v>
      </c>
    </row>
    <row r="62" spans="1:1" ht="15.75" customHeight="1">
      <c r="A62" s="14" t="s">
        <v>28</v>
      </c>
    </row>
    <row r="63" spans="1:1" ht="15.75" customHeight="1">
      <c r="A63" s="43" t="s">
        <v>225</v>
      </c>
    </row>
    <row r="64" spans="1:1" ht="15.75" customHeight="1">
      <c r="A64" s="43" t="s">
        <v>224</v>
      </c>
    </row>
    <row r="65" spans="1:1" ht="15.75" customHeight="1">
      <c r="A65" s="43" t="s">
        <v>223</v>
      </c>
    </row>
    <row r="66" spans="1:1" ht="15.75" customHeight="1">
      <c r="A66" s="43" t="s">
        <v>222</v>
      </c>
    </row>
    <row r="68" spans="1:1" ht="15.75" customHeight="1">
      <c r="A68" s="14" t="s">
        <v>29</v>
      </c>
    </row>
    <row r="69" spans="1:1" ht="15.75" customHeight="1">
      <c r="A69" s="43" t="s">
        <v>221</v>
      </c>
    </row>
    <row r="70" spans="1:1" ht="15.75" customHeight="1">
      <c r="A70" t="s">
        <v>6</v>
      </c>
    </row>
  </sheetData>
  <sortState ref="A36:A39">
    <sortCondition ref="A36:A39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2:E64"/>
  <sheetViews>
    <sheetView workbookViewId="0">
      <selection activeCell="A2" sqref="A2"/>
    </sheetView>
  </sheetViews>
  <sheetFormatPr baseColWidth="10" defaultColWidth="14.44140625" defaultRowHeight="15.75" customHeight="1"/>
  <cols>
    <col min="1" max="1" width="56.88671875" customWidth="1"/>
    <col min="2" max="2" width="12.33203125" style="72" customWidth="1"/>
    <col min="3" max="3" width="14.88671875" customWidth="1"/>
  </cols>
  <sheetData>
    <row r="2" spans="1:5" s="50" customFormat="1" ht="30" customHeight="1">
      <c r="A2" s="60" t="s">
        <v>44</v>
      </c>
      <c r="B2" s="59" t="s">
        <v>45</v>
      </c>
      <c r="C2" s="59" t="s">
        <v>199</v>
      </c>
      <c r="D2" s="59" t="s">
        <v>200</v>
      </c>
      <c r="E2" s="59" t="s">
        <v>203</v>
      </c>
    </row>
    <row r="3" spans="1:5" ht="13.2">
      <c r="A3" s="1" t="s">
        <v>99</v>
      </c>
      <c r="B3" s="71" t="s">
        <v>202</v>
      </c>
      <c r="D3" s="2">
        <v>10580</v>
      </c>
      <c r="E3" s="74">
        <f>C3+D3</f>
        <v>10580</v>
      </c>
    </row>
    <row r="4" spans="1:5" ht="13.2">
      <c r="A4" s="1" t="s">
        <v>100</v>
      </c>
      <c r="B4" s="71" t="s">
        <v>202</v>
      </c>
      <c r="D4" s="2">
        <v>29352</v>
      </c>
      <c r="E4" s="74">
        <f t="shared" ref="E4:E56" si="0">C4+D4</f>
        <v>29352</v>
      </c>
    </row>
    <row r="5" spans="1:5" ht="13.2">
      <c r="A5" s="1" t="s">
        <v>101</v>
      </c>
      <c r="B5" s="71" t="s">
        <v>202</v>
      </c>
      <c r="D5" s="2">
        <v>7850</v>
      </c>
      <c r="E5" s="74">
        <f t="shared" si="0"/>
        <v>7850</v>
      </c>
    </row>
    <row r="6" spans="1:5" ht="13.2">
      <c r="A6" s="1" t="s">
        <v>102</v>
      </c>
      <c r="B6" s="71" t="s">
        <v>202</v>
      </c>
      <c r="D6" s="2">
        <v>13311</v>
      </c>
      <c r="E6" s="74">
        <f t="shared" si="0"/>
        <v>13311</v>
      </c>
    </row>
    <row r="7" spans="1:5" ht="13.2">
      <c r="A7" s="1" t="s">
        <v>103</v>
      </c>
      <c r="B7" s="71" t="s">
        <v>202</v>
      </c>
      <c r="D7" s="2">
        <v>24573</v>
      </c>
      <c r="E7" s="74">
        <f t="shared" si="0"/>
        <v>24573</v>
      </c>
    </row>
    <row r="8" spans="1:5" ht="13.2">
      <c r="A8" s="1" t="s">
        <v>104</v>
      </c>
      <c r="B8" s="71" t="s">
        <v>202</v>
      </c>
      <c r="D8" s="2">
        <v>15017</v>
      </c>
      <c r="E8" s="74">
        <f t="shared" si="0"/>
        <v>15017</v>
      </c>
    </row>
    <row r="9" spans="1:5" ht="13.2">
      <c r="A9" s="1" t="s">
        <v>105</v>
      </c>
      <c r="B9" s="71" t="s">
        <v>202</v>
      </c>
      <c r="D9" s="2">
        <v>17747</v>
      </c>
      <c r="E9" s="74">
        <f t="shared" si="0"/>
        <v>17747</v>
      </c>
    </row>
    <row r="10" spans="1:5" ht="13.2">
      <c r="A10" s="1" t="s">
        <v>106</v>
      </c>
      <c r="B10" s="71" t="s">
        <v>202</v>
      </c>
      <c r="D10" s="2">
        <v>12628</v>
      </c>
      <c r="E10" s="74">
        <f t="shared" si="0"/>
        <v>12628</v>
      </c>
    </row>
    <row r="11" spans="1:5" ht="13.2">
      <c r="A11" s="1" t="s">
        <v>107</v>
      </c>
      <c r="B11" s="71" t="s">
        <v>202</v>
      </c>
      <c r="D11" s="2">
        <v>9556</v>
      </c>
      <c r="E11" s="74">
        <f t="shared" si="0"/>
        <v>9556</v>
      </c>
    </row>
    <row r="12" spans="1:5" ht="13.2">
      <c r="A12" s="1" t="s">
        <v>108</v>
      </c>
      <c r="B12" s="71" t="s">
        <v>202</v>
      </c>
      <c r="D12" s="2">
        <v>39932</v>
      </c>
      <c r="E12" s="74">
        <f t="shared" si="0"/>
        <v>39932</v>
      </c>
    </row>
    <row r="13" spans="1:5" ht="13.2">
      <c r="A13" s="1" t="s">
        <v>109</v>
      </c>
      <c r="B13" s="71" t="s">
        <v>202</v>
      </c>
      <c r="D13" s="2">
        <v>11263</v>
      </c>
      <c r="E13" s="74">
        <f t="shared" si="0"/>
        <v>11263</v>
      </c>
    </row>
    <row r="14" spans="1:5" ht="13.2">
      <c r="A14" s="1" t="s">
        <v>110</v>
      </c>
      <c r="B14" s="71" t="s">
        <v>202</v>
      </c>
      <c r="D14" s="2">
        <v>44027</v>
      </c>
      <c r="E14" s="74">
        <f t="shared" si="0"/>
        <v>44027</v>
      </c>
    </row>
    <row r="15" spans="1:5" ht="13.2">
      <c r="A15" s="1" t="s">
        <v>111</v>
      </c>
      <c r="B15" s="71" t="s">
        <v>202</v>
      </c>
      <c r="D15" s="2">
        <v>6485</v>
      </c>
      <c r="E15" s="74">
        <f t="shared" si="0"/>
        <v>6485</v>
      </c>
    </row>
    <row r="16" spans="1:5" ht="13.2">
      <c r="A16" s="1" t="s">
        <v>112</v>
      </c>
      <c r="B16" s="71" t="s">
        <v>202</v>
      </c>
      <c r="D16" s="2">
        <v>29010</v>
      </c>
      <c r="E16" s="74">
        <f t="shared" si="0"/>
        <v>29010</v>
      </c>
    </row>
    <row r="17" spans="1:5" ht="13.2">
      <c r="A17" s="1" t="s">
        <v>113</v>
      </c>
      <c r="B17" s="71" t="s">
        <v>202</v>
      </c>
      <c r="D17" s="2">
        <v>55290</v>
      </c>
      <c r="E17" s="74">
        <f t="shared" si="0"/>
        <v>55290</v>
      </c>
    </row>
    <row r="18" spans="1:5" ht="13.2">
      <c r="A18" s="1" t="s">
        <v>61</v>
      </c>
      <c r="B18" s="71" t="s">
        <v>201</v>
      </c>
      <c r="C18" s="2">
        <v>1474</v>
      </c>
      <c r="E18" s="74">
        <f t="shared" si="0"/>
        <v>1474</v>
      </c>
    </row>
    <row r="19" spans="1:5" ht="13.2">
      <c r="A19" s="1" t="s">
        <v>62</v>
      </c>
      <c r="B19" s="71" t="s">
        <v>201</v>
      </c>
      <c r="C19" s="2">
        <v>2153</v>
      </c>
      <c r="E19" s="74">
        <f t="shared" si="0"/>
        <v>2153</v>
      </c>
    </row>
    <row r="20" spans="1:5" ht="13.2">
      <c r="A20" s="1" t="s">
        <v>63</v>
      </c>
      <c r="B20" s="71" t="s">
        <v>201</v>
      </c>
      <c r="C20" s="2">
        <v>3499</v>
      </c>
      <c r="E20" s="74">
        <f t="shared" si="0"/>
        <v>3499</v>
      </c>
    </row>
    <row r="21" spans="1:5" ht="13.2">
      <c r="A21" s="1" t="s">
        <v>64</v>
      </c>
      <c r="B21" s="71" t="s">
        <v>201</v>
      </c>
      <c r="C21" s="2">
        <v>2961</v>
      </c>
      <c r="E21" s="74">
        <f t="shared" si="0"/>
        <v>2961</v>
      </c>
    </row>
    <row r="22" spans="1:5" ht="13.2">
      <c r="A22" s="1" t="s">
        <v>65</v>
      </c>
      <c r="B22" s="71" t="s">
        <v>201</v>
      </c>
      <c r="C22" s="2">
        <v>3230</v>
      </c>
      <c r="E22" s="74">
        <f t="shared" si="0"/>
        <v>3230</v>
      </c>
    </row>
    <row r="23" spans="1:5" ht="13.2">
      <c r="A23" s="1" t="s">
        <v>66</v>
      </c>
      <c r="B23" s="71" t="s">
        <v>201</v>
      </c>
      <c r="C23" s="2">
        <v>538</v>
      </c>
      <c r="E23" s="74">
        <f t="shared" si="0"/>
        <v>538</v>
      </c>
    </row>
    <row r="24" spans="1:5" ht="13.2">
      <c r="A24" s="1" t="s">
        <v>114</v>
      </c>
      <c r="B24" s="71" t="s">
        <v>202</v>
      </c>
      <c r="D24" s="2">
        <v>36860</v>
      </c>
      <c r="E24" s="74">
        <f t="shared" si="0"/>
        <v>36860</v>
      </c>
    </row>
    <row r="25" spans="1:5" ht="13.2">
      <c r="A25" s="1" t="s">
        <v>67</v>
      </c>
      <c r="B25" s="71" t="s">
        <v>201</v>
      </c>
      <c r="C25" s="2">
        <v>21253</v>
      </c>
      <c r="E25" s="74">
        <f t="shared" si="0"/>
        <v>21253</v>
      </c>
    </row>
    <row r="26" spans="1:5" ht="13.2">
      <c r="A26" s="1" t="s">
        <v>68</v>
      </c>
      <c r="B26" s="71" t="s">
        <v>201</v>
      </c>
      <c r="C26" s="2">
        <v>14202</v>
      </c>
      <c r="E26" s="74">
        <f t="shared" si="0"/>
        <v>14202</v>
      </c>
    </row>
    <row r="27" spans="1:5" ht="13.2">
      <c r="A27" s="1" t="s">
        <v>69</v>
      </c>
      <c r="B27" s="71" t="s">
        <v>201</v>
      </c>
      <c r="C27" s="2">
        <v>16715</v>
      </c>
      <c r="E27" s="74">
        <f t="shared" si="0"/>
        <v>16715</v>
      </c>
    </row>
    <row r="28" spans="1:5" ht="13.2">
      <c r="A28" s="1" t="s">
        <v>70</v>
      </c>
      <c r="B28" s="71" t="s">
        <v>201</v>
      </c>
      <c r="C28" s="2">
        <v>16001</v>
      </c>
      <c r="E28" s="74">
        <f t="shared" si="0"/>
        <v>16001</v>
      </c>
    </row>
    <row r="29" spans="1:5" ht="13.2">
      <c r="A29" s="1" t="s">
        <v>71</v>
      </c>
      <c r="B29" s="71" t="s">
        <v>201</v>
      </c>
      <c r="C29" s="2">
        <v>28874</v>
      </c>
      <c r="E29" s="74">
        <f t="shared" si="0"/>
        <v>28874</v>
      </c>
    </row>
    <row r="30" spans="1:5" ht="13.2">
      <c r="A30" s="1" t="s">
        <v>72</v>
      </c>
      <c r="B30" s="71" t="s">
        <v>201</v>
      </c>
      <c r="C30" s="2">
        <v>14012</v>
      </c>
      <c r="E30" s="74">
        <f t="shared" si="0"/>
        <v>14012</v>
      </c>
    </row>
    <row r="31" spans="1:5" ht="13.2">
      <c r="A31" s="1" t="s">
        <v>73</v>
      </c>
      <c r="B31" s="71" t="s">
        <v>201</v>
      </c>
      <c r="C31" s="2">
        <v>19454</v>
      </c>
      <c r="E31" s="74">
        <f t="shared" si="0"/>
        <v>19454</v>
      </c>
    </row>
    <row r="32" spans="1:5" ht="13.2">
      <c r="A32" s="1" t="s">
        <v>74</v>
      </c>
      <c r="B32" s="71" t="s">
        <v>201</v>
      </c>
      <c r="C32" s="2">
        <v>8779</v>
      </c>
      <c r="E32" s="74">
        <f t="shared" si="0"/>
        <v>8779</v>
      </c>
    </row>
    <row r="33" spans="1:5" ht="13.2">
      <c r="A33" s="1" t="s">
        <v>75</v>
      </c>
      <c r="B33" s="71" t="s">
        <v>201</v>
      </c>
      <c r="C33" s="2">
        <v>10698</v>
      </c>
      <c r="E33" s="74">
        <f t="shared" si="0"/>
        <v>10698</v>
      </c>
    </row>
    <row r="34" spans="1:5" ht="13.2">
      <c r="A34" s="1" t="s">
        <v>76</v>
      </c>
      <c r="B34" s="71" t="s">
        <v>201</v>
      </c>
      <c r="C34" s="2">
        <v>25469</v>
      </c>
      <c r="E34" s="74">
        <f t="shared" si="0"/>
        <v>25469</v>
      </c>
    </row>
    <row r="35" spans="1:5" ht="13.2">
      <c r="A35" s="1" t="s">
        <v>77</v>
      </c>
      <c r="B35" s="71" t="s">
        <v>201</v>
      </c>
      <c r="C35" s="2">
        <v>7305</v>
      </c>
      <c r="E35" s="74">
        <f t="shared" si="0"/>
        <v>7305</v>
      </c>
    </row>
    <row r="36" spans="1:5" ht="13.2">
      <c r="A36" s="1" t="s">
        <v>78</v>
      </c>
      <c r="B36" s="71" t="s">
        <v>201</v>
      </c>
      <c r="C36" s="2">
        <v>7974</v>
      </c>
      <c r="E36" s="74">
        <f t="shared" si="0"/>
        <v>7974</v>
      </c>
    </row>
    <row r="37" spans="1:5" ht="13.2">
      <c r="A37" s="1" t="s">
        <v>79</v>
      </c>
      <c r="B37" s="71" t="s">
        <v>201</v>
      </c>
      <c r="C37" s="2">
        <v>9860</v>
      </c>
      <c r="E37" s="74">
        <f t="shared" si="0"/>
        <v>9860</v>
      </c>
    </row>
    <row r="38" spans="1:5" ht="13.2">
      <c r="A38" s="1" t="s">
        <v>80</v>
      </c>
      <c r="B38" s="71" t="s">
        <v>201</v>
      </c>
      <c r="C38" s="2">
        <v>18341</v>
      </c>
      <c r="E38" s="74">
        <f t="shared" si="0"/>
        <v>18341</v>
      </c>
    </row>
    <row r="39" spans="1:5" ht="13.2">
      <c r="A39" s="1" t="s">
        <v>81</v>
      </c>
      <c r="B39" s="71" t="s">
        <v>201</v>
      </c>
      <c r="C39" s="2">
        <v>12835</v>
      </c>
      <c r="E39" s="74">
        <f t="shared" si="0"/>
        <v>12835</v>
      </c>
    </row>
    <row r="40" spans="1:5" ht="13.2">
      <c r="A40" s="1" t="s">
        <v>82</v>
      </c>
      <c r="B40" s="71" t="s">
        <v>201</v>
      </c>
      <c r="C40" s="2">
        <v>7026</v>
      </c>
      <c r="E40" s="74">
        <f t="shared" si="0"/>
        <v>7026</v>
      </c>
    </row>
    <row r="41" spans="1:5" ht="13.2">
      <c r="A41" s="1" t="s">
        <v>83</v>
      </c>
      <c r="B41" s="71" t="s">
        <v>201</v>
      </c>
      <c r="C41" s="2">
        <v>28843</v>
      </c>
      <c r="E41" s="74">
        <f t="shared" si="0"/>
        <v>28843</v>
      </c>
    </row>
    <row r="42" spans="1:5" ht="15.75" customHeight="1">
      <c r="A42" s="1" t="s">
        <v>84</v>
      </c>
      <c r="B42" s="71" t="s">
        <v>201</v>
      </c>
      <c r="C42" s="2">
        <v>7248</v>
      </c>
      <c r="E42" s="74">
        <f t="shared" si="0"/>
        <v>7248</v>
      </c>
    </row>
    <row r="43" spans="1:5" ht="15.75" customHeight="1">
      <c r="A43" s="1" t="s">
        <v>85</v>
      </c>
      <c r="B43" s="71" t="s">
        <v>201</v>
      </c>
      <c r="C43" s="2">
        <v>6492</v>
      </c>
      <c r="E43" s="74">
        <f t="shared" si="0"/>
        <v>6492</v>
      </c>
    </row>
    <row r="44" spans="1:5" ht="13.2">
      <c r="A44" s="1" t="s">
        <v>86</v>
      </c>
      <c r="B44" s="71" t="s">
        <v>201</v>
      </c>
      <c r="C44" s="2">
        <v>13727</v>
      </c>
      <c r="E44" s="74">
        <f t="shared" si="0"/>
        <v>13727</v>
      </c>
    </row>
    <row r="45" spans="1:5" ht="13.2">
      <c r="A45" s="1" t="s">
        <v>87</v>
      </c>
      <c r="B45" s="71" t="s">
        <v>201</v>
      </c>
      <c r="C45" s="2">
        <v>11512</v>
      </c>
      <c r="E45" s="74">
        <f t="shared" si="0"/>
        <v>11512</v>
      </c>
    </row>
    <row r="46" spans="1:5" ht="13.2">
      <c r="A46" s="1" t="s">
        <v>88</v>
      </c>
      <c r="B46" s="71" t="s">
        <v>201</v>
      </c>
      <c r="C46" s="2">
        <v>5781</v>
      </c>
      <c r="E46" s="74">
        <f t="shared" si="0"/>
        <v>5781</v>
      </c>
    </row>
    <row r="47" spans="1:5" ht="13.2">
      <c r="A47" s="1" t="s">
        <v>89</v>
      </c>
      <c r="B47" s="71" t="s">
        <v>201</v>
      </c>
      <c r="C47" s="2">
        <v>34507</v>
      </c>
      <c r="E47" s="74">
        <f t="shared" si="0"/>
        <v>34507</v>
      </c>
    </row>
    <row r="48" spans="1:5" ht="13.2">
      <c r="A48" s="1" t="s">
        <v>90</v>
      </c>
      <c r="B48" s="71" t="s">
        <v>201</v>
      </c>
      <c r="C48" s="2">
        <v>45105</v>
      </c>
      <c r="E48" s="74">
        <f t="shared" si="0"/>
        <v>45105</v>
      </c>
    </row>
    <row r="49" spans="1:5" ht="13.2">
      <c r="A49" s="1" t="s">
        <v>91</v>
      </c>
      <c r="B49" s="71" t="s">
        <v>201</v>
      </c>
      <c r="C49" s="2">
        <v>12318</v>
      </c>
      <c r="E49" s="74">
        <f t="shared" si="0"/>
        <v>12318</v>
      </c>
    </row>
    <row r="50" spans="1:5" ht="13.2">
      <c r="A50" s="1" t="s">
        <v>92</v>
      </c>
      <c r="B50" s="71" t="s">
        <v>201</v>
      </c>
      <c r="C50" s="2">
        <v>37100</v>
      </c>
      <c r="E50" s="74">
        <f t="shared" si="0"/>
        <v>37100</v>
      </c>
    </row>
    <row r="51" spans="1:5" ht="13.2">
      <c r="A51" s="1" t="s">
        <v>93</v>
      </c>
      <c r="B51" s="71" t="s">
        <v>201</v>
      </c>
      <c r="C51" s="2">
        <v>8013</v>
      </c>
      <c r="E51" s="74">
        <f t="shared" si="0"/>
        <v>8013</v>
      </c>
    </row>
    <row r="52" spans="1:5" ht="13.2">
      <c r="A52" s="1" t="s">
        <v>94</v>
      </c>
      <c r="B52" s="71" t="s">
        <v>201</v>
      </c>
      <c r="C52" s="2">
        <v>17810</v>
      </c>
      <c r="E52" s="74">
        <f t="shared" si="0"/>
        <v>17810</v>
      </c>
    </row>
    <row r="53" spans="1:5" ht="13.2">
      <c r="A53" s="1" t="s">
        <v>95</v>
      </c>
      <c r="B53" s="71" t="s">
        <v>201</v>
      </c>
      <c r="C53" s="2">
        <v>7972</v>
      </c>
      <c r="E53" s="74">
        <f t="shared" si="0"/>
        <v>7972</v>
      </c>
    </row>
    <row r="54" spans="1:5" ht="13.2">
      <c r="A54" s="1" t="s">
        <v>96</v>
      </c>
      <c r="B54" s="71" t="s">
        <v>201</v>
      </c>
      <c r="C54" s="2">
        <v>7962</v>
      </c>
      <c r="E54" s="74">
        <f t="shared" si="0"/>
        <v>7962</v>
      </c>
    </row>
    <row r="55" spans="1:5" ht="13.2">
      <c r="A55" s="1" t="s">
        <v>97</v>
      </c>
      <c r="B55" s="71" t="s">
        <v>201</v>
      </c>
      <c r="C55" s="2">
        <v>2961</v>
      </c>
      <c r="E55" s="74">
        <f t="shared" si="0"/>
        <v>2961</v>
      </c>
    </row>
    <row r="56" spans="1:5" ht="13.2">
      <c r="A56" s="1" t="s">
        <v>115</v>
      </c>
      <c r="B56" s="71" t="s">
        <v>202</v>
      </c>
      <c r="D56" s="2">
        <v>136519</v>
      </c>
      <c r="E56" s="74">
        <f t="shared" si="0"/>
        <v>136519</v>
      </c>
    </row>
    <row r="57" spans="1:5" ht="13.2">
      <c r="C57" s="3">
        <f>SUM(C3:C56)</f>
        <v>500004</v>
      </c>
      <c r="D57" s="3">
        <f>SUM(D3:D56)</f>
        <v>500000</v>
      </c>
      <c r="E57" s="3">
        <f>SUM(E3:E56)</f>
        <v>1000004</v>
      </c>
    </row>
    <row r="58" spans="1:5" ht="13.2"/>
    <row r="59" spans="1:5" ht="13.2"/>
    <row r="60" spans="1:5" ht="13.2"/>
    <row r="61" spans="1:5" ht="13.2"/>
    <row r="62" spans="1:5" ht="13.2"/>
    <row r="63" spans="1:5" ht="13.2"/>
    <row r="64" spans="1:5" ht="13.2"/>
  </sheetData>
  <sortState ref="A3:D56">
    <sortCondition ref="A3:A56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V60"/>
  <sheetViews>
    <sheetView workbookViewId="0"/>
  </sheetViews>
  <sheetFormatPr baseColWidth="10" defaultColWidth="14.44140625" defaultRowHeight="15.75" customHeight="1"/>
  <cols>
    <col min="1" max="1" width="21.88671875" customWidth="1"/>
    <col min="3" max="3" width="5.88671875" customWidth="1"/>
    <col min="6" max="6" width="6.88671875" customWidth="1"/>
  </cols>
  <sheetData>
    <row r="1" spans="1:11" s="6" customFormat="1" ht="33" customHeight="1" thickTop="1">
      <c r="A1" s="48" t="s">
        <v>47</v>
      </c>
      <c r="B1" s="91" t="s">
        <v>226</v>
      </c>
      <c r="D1" s="44" t="s">
        <v>178</v>
      </c>
      <c r="E1" s="44" t="s">
        <v>48</v>
      </c>
      <c r="G1" s="224" t="s">
        <v>179</v>
      </c>
      <c r="H1" s="225"/>
      <c r="I1" s="225"/>
    </row>
    <row r="2" spans="1:11" ht="13.2">
      <c r="A2" s="92" t="s">
        <v>116</v>
      </c>
      <c r="B2" s="93">
        <v>600</v>
      </c>
      <c r="C2" s="94"/>
      <c r="D2" s="159">
        <f>COUNTIF('Peticions PDI o PAS'!$AZ$11:$AZ$110,A2)</f>
        <v>0</v>
      </c>
      <c r="E2" s="95">
        <f t="shared" ref="E2:E36" si="0">B2*D2</f>
        <v>0</v>
      </c>
      <c r="F2" s="96"/>
      <c r="G2" s="94"/>
      <c r="H2" s="96"/>
      <c r="I2" s="43"/>
      <c r="J2" s="43"/>
      <c r="K2" s="43"/>
    </row>
    <row r="3" spans="1:11" ht="13.2">
      <c r="A3" s="97" t="s">
        <v>118</v>
      </c>
      <c r="B3" s="98">
        <v>810</v>
      </c>
      <c r="C3" s="51"/>
      <c r="D3" s="160">
        <f>COUNTIF('Peticions PDI o PAS'!$AZ$11:$AZ$110,A3)</f>
        <v>0</v>
      </c>
      <c r="E3" s="99">
        <f t="shared" si="0"/>
        <v>0</v>
      </c>
      <c r="F3" s="100"/>
      <c r="G3" s="51"/>
      <c r="H3" s="100"/>
      <c r="I3" s="43"/>
      <c r="J3" s="43"/>
      <c r="K3" s="43"/>
    </row>
    <row r="4" spans="1:11" ht="13.2">
      <c r="A4" s="97" t="s">
        <v>120</v>
      </c>
      <c r="B4" s="98">
        <v>990</v>
      </c>
      <c r="C4" s="51"/>
      <c r="D4" s="160">
        <f>COUNTIF('Peticions PDI o PAS'!$AZ$11:$AZ$110,A4)</f>
        <v>0</v>
      </c>
      <c r="E4" s="99">
        <f t="shared" si="0"/>
        <v>0</v>
      </c>
      <c r="F4" s="100"/>
      <c r="G4" s="51"/>
      <c r="H4" s="100"/>
      <c r="I4" s="43"/>
      <c r="J4" s="43"/>
      <c r="K4" s="43"/>
    </row>
    <row r="5" spans="1:11" ht="13.2">
      <c r="A5" s="97" t="s">
        <v>122</v>
      </c>
      <c r="B5" s="98">
        <v>850</v>
      </c>
      <c r="C5" s="51"/>
      <c r="D5" s="160">
        <f>COUNTIF('Peticions PDI o PAS'!$AZ$11:$AZ$110,A5)</f>
        <v>0</v>
      </c>
      <c r="E5" s="99">
        <f t="shared" si="0"/>
        <v>0</v>
      </c>
      <c r="F5" s="100"/>
      <c r="G5" s="51"/>
      <c r="H5" s="100"/>
      <c r="I5" s="43"/>
      <c r="J5" s="43"/>
      <c r="K5" s="43"/>
    </row>
    <row r="6" spans="1:11" ht="13.2">
      <c r="A6" s="97" t="s">
        <v>124</v>
      </c>
      <c r="B6" s="98">
        <v>1030</v>
      </c>
      <c r="C6" s="51"/>
      <c r="D6" s="160">
        <f>COUNTIF('Peticions PDI o PAS'!$AZ$11:$AZ$110,A6)</f>
        <v>0</v>
      </c>
      <c r="E6" s="99">
        <f t="shared" si="0"/>
        <v>0</v>
      </c>
      <c r="F6" s="100"/>
      <c r="G6" s="51"/>
      <c r="H6" s="100"/>
      <c r="I6" s="43"/>
      <c r="J6" s="43"/>
      <c r="K6" s="43"/>
    </row>
    <row r="7" spans="1:11" ht="13.2">
      <c r="A7" s="97" t="s">
        <v>126</v>
      </c>
      <c r="B7" s="98">
        <v>2000</v>
      </c>
      <c r="C7" s="51"/>
      <c r="D7" s="160">
        <f>COUNTIF('Peticions PDI o PAS'!$AZ$11:$AZ$110,A7)</f>
        <v>0</v>
      </c>
      <c r="E7" s="99">
        <f t="shared" si="0"/>
        <v>0</v>
      </c>
      <c r="F7" s="100"/>
      <c r="G7" s="51"/>
      <c r="H7" s="100"/>
      <c r="I7" s="43"/>
      <c r="J7" s="43"/>
      <c r="K7" s="43"/>
    </row>
    <row r="8" spans="1:11" ht="13.2">
      <c r="A8" s="97" t="s">
        <v>128</v>
      </c>
      <c r="B8" s="98">
        <v>2300</v>
      </c>
      <c r="C8" s="51"/>
      <c r="D8" s="160">
        <f>COUNTIF('Peticions PDI o PAS'!$AZ$11:$AZ$110,A8)</f>
        <v>0</v>
      </c>
      <c r="E8" s="99">
        <f t="shared" si="0"/>
        <v>0</v>
      </c>
      <c r="F8" s="100"/>
      <c r="G8" s="51"/>
      <c r="H8" s="100"/>
      <c r="I8" s="43"/>
      <c r="J8" s="43"/>
      <c r="K8" s="43"/>
    </row>
    <row r="9" spans="1:11" ht="13.2">
      <c r="A9" s="97" t="s">
        <v>130</v>
      </c>
      <c r="B9" s="98">
        <v>2065</v>
      </c>
      <c r="C9" s="51"/>
      <c r="D9" s="161">
        <f>COUNTIF('Peticions PDI o PAS'!$AZ$11:$AZ$110,A9)</f>
        <v>0</v>
      </c>
      <c r="E9" s="101">
        <f t="shared" si="0"/>
        <v>0</v>
      </c>
      <c r="F9" s="88">
        <f>SUM(D2:D9)</f>
        <v>0</v>
      </c>
      <c r="G9" s="51"/>
      <c r="H9" s="100"/>
      <c r="I9" s="43"/>
      <c r="J9" s="43"/>
      <c r="K9" s="43"/>
    </row>
    <row r="10" spans="1:11" ht="15.75" customHeight="1">
      <c r="A10" s="97" t="s">
        <v>117</v>
      </c>
      <c r="B10" s="98">
        <v>510</v>
      </c>
      <c r="C10" s="51"/>
      <c r="D10" s="159">
        <f>COUNTIF('Peticions PDI o PAS'!$AZ$11:$AZ$110,A10)</f>
        <v>0</v>
      </c>
      <c r="E10" s="95">
        <f t="shared" si="0"/>
        <v>0</v>
      </c>
      <c r="F10" s="96"/>
      <c r="G10" s="51"/>
      <c r="H10" s="100"/>
      <c r="I10" s="43"/>
      <c r="J10" s="43"/>
      <c r="K10" s="43"/>
    </row>
    <row r="11" spans="1:11" ht="15.75" customHeight="1">
      <c r="A11" s="97" t="s">
        <v>119</v>
      </c>
      <c r="B11" s="98">
        <v>720</v>
      </c>
      <c r="C11" s="51"/>
      <c r="D11" s="160">
        <f>COUNTIF('Peticions PDI o PAS'!$AZ$11:$AZ$110,A11)</f>
        <v>0</v>
      </c>
      <c r="E11" s="99">
        <f t="shared" si="0"/>
        <v>0</v>
      </c>
      <c r="F11" s="100"/>
      <c r="G11" s="51"/>
      <c r="H11" s="100"/>
      <c r="I11" s="43"/>
      <c r="J11" s="43"/>
      <c r="K11" s="43"/>
    </row>
    <row r="12" spans="1:11" ht="15.75" customHeight="1">
      <c r="A12" s="97" t="s">
        <v>121</v>
      </c>
      <c r="B12" s="98">
        <v>900</v>
      </c>
      <c r="C12" s="51"/>
      <c r="D12" s="160">
        <f>COUNTIF('Peticions PDI o PAS'!$AZ$11:$AZ$110,A12)</f>
        <v>0</v>
      </c>
      <c r="E12" s="99">
        <f t="shared" si="0"/>
        <v>0</v>
      </c>
      <c r="F12" s="100"/>
      <c r="G12" s="51"/>
      <c r="H12" s="100"/>
      <c r="I12" s="43"/>
      <c r="J12" s="43"/>
      <c r="K12" s="43"/>
    </row>
    <row r="13" spans="1:11" ht="15.75" customHeight="1">
      <c r="A13" s="97" t="s">
        <v>123</v>
      </c>
      <c r="B13" s="98">
        <v>760</v>
      </c>
      <c r="C13" s="51"/>
      <c r="D13" s="160">
        <f>COUNTIF('Peticions PDI o PAS'!$AZ$11:$AZ$110,A13)</f>
        <v>0</v>
      </c>
      <c r="E13" s="99">
        <f t="shared" si="0"/>
        <v>0</v>
      </c>
      <c r="F13" s="100"/>
      <c r="G13" s="51"/>
      <c r="H13" s="100"/>
      <c r="I13" s="43"/>
      <c r="J13" s="43"/>
      <c r="K13" s="43"/>
    </row>
    <row r="14" spans="1:11" ht="15.75" customHeight="1">
      <c r="A14" s="97" t="s">
        <v>125</v>
      </c>
      <c r="B14" s="98">
        <v>940</v>
      </c>
      <c r="C14" s="51"/>
      <c r="D14" s="160">
        <f>COUNTIF('Peticions PDI o PAS'!$AZ$11:$AZ$110,A14)</f>
        <v>0</v>
      </c>
      <c r="E14" s="99">
        <f t="shared" si="0"/>
        <v>0</v>
      </c>
      <c r="F14" s="100"/>
      <c r="G14" s="51"/>
      <c r="H14" s="100"/>
      <c r="I14" s="43"/>
      <c r="J14" s="43"/>
      <c r="K14" s="43"/>
    </row>
    <row r="15" spans="1:11" ht="15.75" customHeight="1">
      <c r="A15" s="97" t="s">
        <v>127</v>
      </c>
      <c r="B15" s="98">
        <v>1870</v>
      </c>
      <c r="C15" s="51"/>
      <c r="D15" s="160">
        <f>COUNTIF('Peticions PDI o PAS'!$AZ$11:$AZ$110,A15)</f>
        <v>0</v>
      </c>
      <c r="E15" s="99">
        <f t="shared" si="0"/>
        <v>0</v>
      </c>
      <c r="F15" s="100"/>
      <c r="G15" s="51"/>
      <c r="H15" s="100"/>
      <c r="I15" s="43"/>
      <c r="J15" s="43"/>
      <c r="K15" s="43"/>
    </row>
    <row r="16" spans="1:11" ht="15.75" customHeight="1">
      <c r="A16" s="97" t="s">
        <v>129</v>
      </c>
      <c r="B16" s="98">
        <v>2170</v>
      </c>
      <c r="C16" s="51"/>
      <c r="D16" s="160">
        <f>COUNTIF('Peticions PDI o PAS'!$AZ$11:$AZ$110,A16)</f>
        <v>0</v>
      </c>
      <c r="E16" s="99">
        <f t="shared" si="0"/>
        <v>0</v>
      </c>
      <c r="F16" s="100"/>
      <c r="G16" s="51"/>
      <c r="H16" s="100"/>
      <c r="I16" s="43"/>
      <c r="J16" s="43"/>
      <c r="K16" s="43"/>
    </row>
    <row r="17" spans="1:22" ht="15.75" customHeight="1">
      <c r="A17" s="97" t="s">
        <v>131</v>
      </c>
      <c r="B17" s="98">
        <v>1975</v>
      </c>
      <c r="C17" s="51"/>
      <c r="D17" s="161">
        <f>COUNTIF('Peticions PDI o PAS'!$AZ$11:$AZ$110,A17)</f>
        <v>0</v>
      </c>
      <c r="E17" s="101">
        <f t="shared" si="0"/>
        <v>0</v>
      </c>
      <c r="F17" s="88">
        <f>SUM(D10:D17)</f>
        <v>0</v>
      </c>
      <c r="G17" s="51"/>
      <c r="H17" s="100"/>
      <c r="I17" s="43"/>
      <c r="J17" s="43"/>
      <c r="K17" s="43"/>
    </row>
    <row r="18" spans="1:22" ht="15.75" customHeight="1">
      <c r="A18" s="97" t="s">
        <v>53</v>
      </c>
      <c r="B18" s="98">
        <v>1669</v>
      </c>
      <c r="C18" s="51"/>
      <c r="D18" s="159">
        <f>COUNTIF('Peticions PDI o PAS'!$AZ$11:$AZ$110,A18)</f>
        <v>0</v>
      </c>
      <c r="E18" s="95">
        <f t="shared" si="0"/>
        <v>0</v>
      </c>
      <c r="F18" s="96"/>
      <c r="G18" s="51"/>
      <c r="H18" s="100"/>
      <c r="I18" s="43"/>
      <c r="J18" s="43"/>
      <c r="K18" s="43"/>
    </row>
    <row r="19" spans="1:22" ht="15.75" customHeight="1">
      <c r="A19" s="102" t="s">
        <v>54</v>
      </c>
      <c r="B19" s="103">
        <v>2249</v>
      </c>
      <c r="C19" s="104"/>
      <c r="D19" s="161">
        <f>COUNTIF('Peticions PDI o PAS'!$AZ$11:$AZ$110,A19)</f>
        <v>0</v>
      </c>
      <c r="E19" s="101">
        <f t="shared" si="0"/>
        <v>0</v>
      </c>
      <c r="F19" s="88">
        <f>SUM(D18:D19)</f>
        <v>0</v>
      </c>
      <c r="G19" s="104">
        <f>SUM(D2:D19)</f>
        <v>0</v>
      </c>
      <c r="H19" s="88">
        <f>'Peticions PDI o PAS'!N8</f>
        <v>0</v>
      </c>
      <c r="I19" s="99">
        <f>'Peticions PDI o PAS'!BA7</f>
        <v>0</v>
      </c>
      <c r="J19" s="52">
        <f>SUM(E2:E19)</f>
        <v>0</v>
      </c>
      <c r="K19" s="43"/>
    </row>
    <row r="20" spans="1:22" s="5" customFormat="1" ht="25.95" customHeight="1">
      <c r="A20" s="92" t="s">
        <v>132</v>
      </c>
      <c r="B20" s="93">
        <v>1030</v>
      </c>
      <c r="C20" s="105"/>
      <c r="D20" s="162">
        <f>COUNTIF('Peticions PDI o PAS'!$AU$11:$AU$110,A20)</f>
        <v>0</v>
      </c>
      <c r="E20" s="95">
        <f t="shared" si="0"/>
        <v>0</v>
      </c>
      <c r="F20" s="106"/>
      <c r="G20" s="105"/>
      <c r="H20" s="106"/>
      <c r="I20" s="107"/>
      <c r="J20" s="107"/>
      <c r="K20" s="107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</row>
    <row r="21" spans="1:22" ht="13.2">
      <c r="A21" s="97" t="s">
        <v>134</v>
      </c>
      <c r="B21" s="98">
        <v>1140</v>
      </c>
      <c r="C21" s="51"/>
      <c r="D21" s="163">
        <f>COUNTIF('Peticions PDI o PAS'!$AU$11:$AU$110,A21)</f>
        <v>0</v>
      </c>
      <c r="E21" s="99">
        <f t="shared" si="0"/>
        <v>0</v>
      </c>
      <c r="F21" s="100"/>
      <c r="G21" s="51"/>
      <c r="H21" s="100"/>
      <c r="I21" s="43"/>
      <c r="J21" s="43"/>
      <c r="K21" s="43"/>
    </row>
    <row r="22" spans="1:22" ht="13.2">
      <c r="A22" s="97" t="s">
        <v>136</v>
      </c>
      <c r="B22" s="98">
        <v>1040</v>
      </c>
      <c r="C22" s="51"/>
      <c r="D22" s="163">
        <f>COUNTIF('Peticions PDI o PAS'!$AU$11:$AU$110,A22)</f>
        <v>0</v>
      </c>
      <c r="E22" s="99">
        <f t="shared" si="0"/>
        <v>0</v>
      </c>
      <c r="F22" s="100"/>
      <c r="G22" s="51"/>
      <c r="H22" s="100"/>
      <c r="I22" s="43"/>
      <c r="J22" s="43"/>
      <c r="K22" s="43"/>
    </row>
    <row r="23" spans="1:22" ht="15.75" customHeight="1">
      <c r="A23" s="97" t="s">
        <v>138</v>
      </c>
      <c r="B23" s="98">
        <v>1150</v>
      </c>
      <c r="C23" s="51"/>
      <c r="D23" s="163">
        <f>COUNTIF('Peticions PDI o PAS'!$AU$11:$AU$110,A23)</f>
        <v>0</v>
      </c>
      <c r="E23" s="99">
        <f t="shared" si="0"/>
        <v>0</v>
      </c>
      <c r="F23" s="100"/>
      <c r="G23" s="51"/>
      <c r="H23" s="100"/>
      <c r="I23" s="43"/>
      <c r="J23" s="43"/>
      <c r="K23" s="43"/>
    </row>
    <row r="24" spans="1:22" s="6" customFormat="1" ht="16.95" customHeight="1">
      <c r="A24" s="97" t="s">
        <v>140</v>
      </c>
      <c r="B24" s="98">
        <v>1170</v>
      </c>
      <c r="C24" s="108"/>
      <c r="D24" s="163">
        <f>COUNTIF('Peticions PDI o PAS'!$AU$11:$AU$110,A24)</f>
        <v>0</v>
      </c>
      <c r="E24" s="99">
        <f t="shared" si="0"/>
        <v>0</v>
      </c>
      <c r="F24" s="109"/>
      <c r="G24" s="108"/>
      <c r="H24" s="109"/>
      <c r="I24" s="110"/>
      <c r="J24" s="110"/>
      <c r="K24" s="110"/>
    </row>
    <row r="25" spans="1:22" ht="13.2">
      <c r="A25" s="97" t="s">
        <v>142</v>
      </c>
      <c r="B25" s="98">
        <v>1275</v>
      </c>
      <c r="C25" s="51"/>
      <c r="D25" s="164">
        <f>COUNTIF('Peticions PDI o PAS'!$AU$11:$AU$110,A25)</f>
        <v>0</v>
      </c>
      <c r="E25" s="101">
        <f t="shared" si="0"/>
        <v>0</v>
      </c>
      <c r="F25" s="88">
        <f>SUM(D20:D25)</f>
        <v>0</v>
      </c>
      <c r="G25" s="51"/>
      <c r="H25" s="100"/>
      <c r="I25" s="43"/>
      <c r="J25" s="43"/>
      <c r="K25" s="43"/>
    </row>
    <row r="26" spans="1:22" ht="13.2">
      <c r="A26" s="97" t="s">
        <v>133</v>
      </c>
      <c r="B26" s="98">
        <v>950</v>
      </c>
      <c r="C26" s="51"/>
      <c r="D26" s="162">
        <f>COUNTIF('Peticions PDI o PAS'!$AU$11:$AU$110,A26)</f>
        <v>0</v>
      </c>
      <c r="E26" s="95">
        <f t="shared" si="0"/>
        <v>0</v>
      </c>
      <c r="F26" s="96"/>
      <c r="G26" s="51"/>
      <c r="H26" s="100"/>
      <c r="I26" s="43"/>
      <c r="J26" s="43"/>
      <c r="K26" s="43"/>
    </row>
    <row r="27" spans="1:22" ht="13.2">
      <c r="A27" s="97" t="s">
        <v>135</v>
      </c>
      <c r="B27" s="98">
        <v>1060</v>
      </c>
      <c r="C27" s="51"/>
      <c r="D27" s="163">
        <f>COUNTIF('Peticions PDI o PAS'!$AU$11:$AU$110,A27)</f>
        <v>0</v>
      </c>
      <c r="E27" s="99">
        <f t="shared" si="0"/>
        <v>0</v>
      </c>
      <c r="F27" s="100"/>
      <c r="G27" s="51"/>
      <c r="H27" s="100"/>
      <c r="I27" s="43"/>
      <c r="J27" s="43"/>
      <c r="K27" s="43"/>
    </row>
    <row r="28" spans="1:22" ht="13.2">
      <c r="A28" s="97" t="s">
        <v>137</v>
      </c>
      <c r="B28" s="98">
        <v>960</v>
      </c>
      <c r="C28" s="51"/>
      <c r="D28" s="163">
        <f>COUNTIF('Peticions PDI o PAS'!$AU$11:$AU$110,A28)</f>
        <v>0</v>
      </c>
      <c r="E28" s="99">
        <f t="shared" si="0"/>
        <v>0</v>
      </c>
      <c r="F28" s="100"/>
      <c r="G28" s="51"/>
      <c r="H28" s="100"/>
      <c r="I28" s="43"/>
      <c r="J28" s="43"/>
      <c r="K28" s="43"/>
    </row>
    <row r="29" spans="1:22" ht="15.75" customHeight="1">
      <c r="A29" s="97" t="s">
        <v>139</v>
      </c>
      <c r="B29" s="98">
        <v>1070</v>
      </c>
      <c r="C29" s="51"/>
      <c r="D29" s="163">
        <f>COUNTIF('Peticions PDI o PAS'!$AU$11:$AU$110,A29)</f>
        <v>0</v>
      </c>
      <c r="E29" s="99">
        <f t="shared" si="0"/>
        <v>0</v>
      </c>
      <c r="F29" s="100"/>
      <c r="G29" s="51"/>
      <c r="H29" s="100"/>
      <c r="I29" s="43"/>
      <c r="J29" s="43"/>
      <c r="K29" s="43"/>
    </row>
    <row r="30" spans="1:22" ht="15.75" customHeight="1">
      <c r="A30" s="97" t="s">
        <v>141</v>
      </c>
      <c r="B30" s="98">
        <v>1090</v>
      </c>
      <c r="C30" s="51"/>
      <c r="D30" s="163">
        <f>COUNTIF('Peticions PDI o PAS'!$AU$11:$AU$110,A30)</f>
        <v>0</v>
      </c>
      <c r="E30" s="99">
        <f t="shared" si="0"/>
        <v>0</v>
      </c>
      <c r="F30" s="100"/>
      <c r="G30" s="51"/>
      <c r="H30" s="100"/>
      <c r="I30" s="43"/>
      <c r="J30" s="43"/>
      <c r="K30" s="43"/>
    </row>
    <row r="31" spans="1:22" s="5" customFormat="1" ht="18" customHeight="1">
      <c r="A31" s="102" t="s">
        <v>143</v>
      </c>
      <c r="B31" s="103">
        <v>1195</v>
      </c>
      <c r="C31" s="111"/>
      <c r="D31" s="164">
        <f>COUNTIF('Peticions PDI o PAS'!$AU$11:$AU$110,A31)</f>
        <v>0</v>
      </c>
      <c r="E31" s="101">
        <f t="shared" si="0"/>
        <v>0</v>
      </c>
      <c r="F31" s="112">
        <f>SUM(D26:D31)</f>
        <v>0</v>
      </c>
      <c r="G31" s="111">
        <f>SUM(D20:D31)</f>
        <v>0</v>
      </c>
      <c r="H31" s="112">
        <f>'Peticions PDI o PAS'!I8</f>
        <v>0</v>
      </c>
      <c r="I31" s="99">
        <f>'Peticions PDI o PAS'!AV7</f>
        <v>0</v>
      </c>
      <c r="J31" s="131">
        <f>SUM(E20:E31)</f>
        <v>0</v>
      </c>
      <c r="K31" s="113"/>
    </row>
    <row r="32" spans="1:22" ht="13.2">
      <c r="A32" s="92" t="s">
        <v>55</v>
      </c>
      <c r="B32" s="93">
        <v>1399</v>
      </c>
      <c r="C32" s="94"/>
      <c r="D32" s="159">
        <f>COUNTIF('Peticions PDI o PAS'!$BH$11:$BH$110,A32)</f>
        <v>0</v>
      </c>
      <c r="E32" s="95">
        <f t="shared" si="0"/>
        <v>0</v>
      </c>
      <c r="F32" s="96"/>
      <c r="G32" s="94"/>
      <c r="H32" s="96"/>
      <c r="I32" s="43"/>
      <c r="J32" s="43"/>
      <c r="K32" s="43"/>
    </row>
    <row r="33" spans="1:11" ht="13.2">
      <c r="A33" s="97" t="s">
        <v>56</v>
      </c>
      <c r="B33" s="98">
        <v>1679</v>
      </c>
      <c r="C33" s="51"/>
      <c r="D33" s="161">
        <f>COUNTIF('Peticions PDI o PAS'!$BH$11:$BH$110,A33)</f>
        <v>0</v>
      </c>
      <c r="E33" s="101">
        <f t="shared" si="0"/>
        <v>0</v>
      </c>
      <c r="F33" s="88">
        <f>SUM(D32:D33)</f>
        <v>0</v>
      </c>
      <c r="G33" s="51"/>
      <c r="H33" s="100"/>
      <c r="I33" s="43"/>
      <c r="J33" s="43"/>
      <c r="K33" s="43"/>
    </row>
    <row r="34" spans="1:11" ht="13.2">
      <c r="A34" s="97" t="s">
        <v>53</v>
      </c>
      <c r="B34" s="98">
        <v>1669</v>
      </c>
      <c r="C34" s="51"/>
      <c r="D34" s="159">
        <f>COUNTIF('Peticions PDI o PAS'!$BH$11:$BH$110,A34)</f>
        <v>0</v>
      </c>
      <c r="E34" s="95">
        <f t="shared" si="0"/>
        <v>0</v>
      </c>
      <c r="F34" s="96"/>
      <c r="G34" s="51"/>
      <c r="H34" s="100"/>
      <c r="I34" s="43"/>
      <c r="J34" s="43"/>
      <c r="K34" s="43"/>
    </row>
    <row r="35" spans="1:11" ht="13.2">
      <c r="A35" s="102" t="s">
        <v>54</v>
      </c>
      <c r="B35" s="103">
        <v>2249</v>
      </c>
      <c r="C35" s="104"/>
      <c r="D35" s="161">
        <f>COUNTIF('Peticions PDI o PAS'!$BH$11:$BH$110,A35)</f>
        <v>0</v>
      </c>
      <c r="E35" s="101">
        <f t="shared" si="0"/>
        <v>0</v>
      </c>
      <c r="F35" s="88">
        <f>SUM(D34:D35)</f>
        <v>0</v>
      </c>
      <c r="G35" s="104">
        <f>SUM(D32:D35)</f>
        <v>0</v>
      </c>
      <c r="H35" s="88">
        <f>'Peticions PDI o PAS'!T8</f>
        <v>0</v>
      </c>
      <c r="I35" s="99">
        <f>'Peticions PDI o PAS'!BI7</f>
        <v>0</v>
      </c>
      <c r="J35" s="52">
        <f>SUM(E32:E35)</f>
        <v>0</v>
      </c>
      <c r="K35" s="43"/>
    </row>
    <row r="36" spans="1:11" ht="13.2">
      <c r="A36" s="114" t="s">
        <v>57</v>
      </c>
      <c r="B36" s="115">
        <v>280</v>
      </c>
      <c r="C36" s="116"/>
      <c r="D36" s="165">
        <f>COUNTIF('Peticions PDI o PAS'!U11:U110,"ETT*")</f>
        <v>0</v>
      </c>
      <c r="E36" s="117">
        <f t="shared" si="0"/>
        <v>0</v>
      </c>
      <c r="F36" s="116"/>
      <c r="G36" s="116">
        <f>D36</f>
        <v>0</v>
      </c>
      <c r="H36" s="118">
        <f>'Peticions PDI o PAS'!U8</f>
        <v>0</v>
      </c>
      <c r="I36" s="99">
        <f>'Peticions PDI o PAS'!BE7</f>
        <v>0</v>
      </c>
      <c r="J36" s="43"/>
      <c r="K36" s="43"/>
    </row>
    <row r="37" spans="1:11" ht="13.8" thickBot="1">
      <c r="A37" s="43"/>
      <c r="B37" s="43"/>
      <c r="C37" s="43"/>
      <c r="D37" s="166">
        <f>SUM(D2:D36)</f>
        <v>0</v>
      </c>
      <c r="E37" s="119">
        <f>SUM(E2:E36)</f>
        <v>0</v>
      </c>
      <c r="F37" s="43"/>
      <c r="G37" s="43">
        <f>G35+G31+G19+G36</f>
        <v>0</v>
      </c>
      <c r="H37" s="119">
        <f>'Peticions PDI o PAS'!AV7+ 'Peticions PDI o PAS'!BA7+'Peticions PDI o PAS'!BE7+'Peticions PDI o PAS'!BI7</f>
        <v>0</v>
      </c>
      <c r="I37" s="119">
        <f>SUM(I2:I36)</f>
        <v>0</v>
      </c>
      <c r="J37" s="43"/>
      <c r="K37" s="43"/>
    </row>
    <row r="38" spans="1:11" ht="13.8" thickBot="1"/>
    <row r="39" spans="1:11" ht="19.2" customHeight="1" thickTop="1">
      <c r="A39" s="7" t="s">
        <v>27</v>
      </c>
      <c r="B39" s="89" t="s">
        <v>226</v>
      </c>
      <c r="D39" s="44" t="s">
        <v>178</v>
      </c>
      <c r="E39" s="44" t="s">
        <v>48</v>
      </c>
      <c r="G39" s="224" t="s">
        <v>179</v>
      </c>
      <c r="H39" s="225"/>
      <c r="I39" s="225"/>
    </row>
    <row r="40" spans="1:11" ht="13.2">
      <c r="A40" s="120" t="s">
        <v>49</v>
      </c>
      <c r="B40" s="98">
        <v>150</v>
      </c>
      <c r="C40" s="43"/>
      <c r="D40" s="121">
        <f>COUNTIF('Peticions PDI o PAS'!S11:S110,"M1*")</f>
        <v>0</v>
      </c>
      <c r="E40" s="52">
        <f>B40*D40</f>
        <v>0</v>
      </c>
      <c r="F40" s="43"/>
      <c r="G40" s="43"/>
      <c r="H40" s="43"/>
      <c r="I40" s="43"/>
      <c r="J40" s="43"/>
    </row>
    <row r="41" spans="1:11" ht="13.2">
      <c r="A41" s="120" t="s">
        <v>50</v>
      </c>
      <c r="B41" s="98">
        <v>170</v>
      </c>
      <c r="C41" s="43"/>
      <c r="D41" s="121">
        <f>COUNTIF('Peticions PDI o PAS'!S11:S110,"M2*")</f>
        <v>0</v>
      </c>
      <c r="E41" s="52">
        <f>B41*D41</f>
        <v>0</v>
      </c>
      <c r="F41" s="43"/>
      <c r="G41" s="43"/>
      <c r="H41" s="43"/>
      <c r="I41" s="43"/>
      <c r="J41" s="43"/>
    </row>
    <row r="42" spans="1:11" ht="13.2">
      <c r="A42" s="120" t="s">
        <v>51</v>
      </c>
      <c r="B42" s="98">
        <v>190</v>
      </c>
      <c r="C42" s="43"/>
      <c r="D42" s="121">
        <f>COUNTIF('Peticions PDI o PAS'!S11:S110,"M3*")</f>
        <v>0</v>
      </c>
      <c r="E42" s="52">
        <f>B42*D42</f>
        <v>0</v>
      </c>
      <c r="F42" s="43"/>
      <c r="G42" s="43"/>
      <c r="H42" s="43"/>
      <c r="I42" s="43"/>
      <c r="J42" s="43"/>
    </row>
    <row r="43" spans="1:11" ht="13.2">
      <c r="A43" s="120" t="s">
        <v>52</v>
      </c>
      <c r="B43" s="98">
        <v>240</v>
      </c>
      <c r="C43" s="43"/>
      <c r="D43" s="121">
        <f>COUNTIF('Peticions PDI o PAS'!S11:S110,"M4*")</f>
        <v>0</v>
      </c>
      <c r="E43" s="52">
        <f>B43*D43</f>
        <v>0</v>
      </c>
      <c r="F43" s="43"/>
      <c r="G43" s="43"/>
      <c r="H43" s="43"/>
      <c r="I43" s="43"/>
      <c r="J43" s="43"/>
    </row>
    <row r="44" spans="1:11" ht="13.8" thickBot="1">
      <c r="A44" s="43"/>
      <c r="B44" s="43"/>
      <c r="C44" s="43"/>
      <c r="D44" s="122">
        <f>SUM(D40:D43)</f>
        <v>0</v>
      </c>
      <c r="E44" s="123">
        <f>SUM(E40:E43)</f>
        <v>0</v>
      </c>
      <c r="F44" s="43"/>
      <c r="G44" s="43">
        <f>'Peticions PDI o PAS'!S8</f>
        <v>0</v>
      </c>
      <c r="H44" s="99">
        <f>'Peticions PDI o PAS'!BD7</f>
        <v>0</v>
      </c>
      <c r="I44" s="43"/>
      <c r="J44" s="43"/>
    </row>
    <row r="45" spans="1:11" ht="13.8" thickBot="1">
      <c r="A45" s="124"/>
      <c r="B45" s="43"/>
      <c r="C45" s="43"/>
      <c r="D45" s="43"/>
      <c r="E45" s="43"/>
      <c r="F45" s="43"/>
      <c r="G45" s="43"/>
      <c r="H45" s="43"/>
      <c r="I45" s="43"/>
      <c r="J45" s="43"/>
    </row>
    <row r="46" spans="1:11" ht="14.4" thickTop="1">
      <c r="A46" s="8" t="s">
        <v>144</v>
      </c>
      <c r="B46" s="90" t="s">
        <v>226</v>
      </c>
      <c r="D46" s="44" t="s">
        <v>178</v>
      </c>
      <c r="E46" s="44" t="s">
        <v>48</v>
      </c>
    </row>
    <row r="47" spans="1:11" ht="13.2">
      <c r="A47" s="125" t="s">
        <v>145</v>
      </c>
      <c r="B47" s="126">
        <v>50</v>
      </c>
      <c r="C47" s="43"/>
      <c r="D47" s="43">
        <f>COUNTIF('Peticions PDI o PAS'!L11:L110,"S*") + COUNTIF('Peticions PDI o PAS'!R11:R110,"S*") + COUNTIF('Peticions PDI o PAS'!V11:V110,"S*")</f>
        <v>0</v>
      </c>
      <c r="E47" s="52">
        <f>B47*D47</f>
        <v>0</v>
      </c>
      <c r="F47" s="43"/>
      <c r="G47" s="43">
        <f>'Peticions PDI o PAS'!L8+'Peticions PDI o PAS'!R8+'Peticions PDI o PAS'!V8</f>
        <v>0</v>
      </c>
      <c r="H47" s="99">
        <f>'Peticions PDI o PAS'!AX7+'Peticions PDI o PAS'!BC7+'Peticions PDI o PAS'!BF7</f>
        <v>0</v>
      </c>
      <c r="I47" s="43"/>
      <c r="J47" s="43"/>
    </row>
    <row r="48" spans="1:11" ht="15.75" customHeight="1">
      <c r="A48" s="125" t="s">
        <v>26</v>
      </c>
      <c r="B48" s="126">
        <v>40</v>
      </c>
      <c r="C48" s="43"/>
      <c r="D48" s="43">
        <f>COUNTIF('Peticions PDI o PAS'!M11:M110,"S*") + COUNTIF('Peticions PDI o PAS'!Q11:Q110,"S*") + COUNTIF('Peticions PDI o PAS'!W11:W110,"S*")</f>
        <v>0</v>
      </c>
      <c r="E48" s="52">
        <f>B48*D48</f>
        <v>0</v>
      </c>
      <c r="F48" s="43"/>
      <c r="G48" s="43">
        <f>'Peticions PDI o PAS'!M8+'Peticions PDI o PAS'!Q8+'Peticions PDI o PAS'!W8</f>
        <v>0</v>
      </c>
      <c r="H48" s="99">
        <f>'Peticions PDI o PAS'!BG7+'Peticions PDI o PAS'!AY7+'Peticions PDI o PAS'!BB7</f>
        <v>0</v>
      </c>
      <c r="I48" s="43"/>
      <c r="J48" s="43"/>
    </row>
    <row r="49" spans="1:22" ht="15.75" customHeight="1">
      <c r="A49" s="125" t="s">
        <v>150</v>
      </c>
      <c r="B49" s="126">
        <v>130</v>
      </c>
      <c r="C49" s="43"/>
      <c r="D49" s="43">
        <f>COUNTIF('Peticions PDI o PAS'!K11:K110,"S*")</f>
        <v>0</v>
      </c>
      <c r="E49" s="52">
        <f>B49*D49</f>
        <v>0</v>
      </c>
      <c r="F49" s="43"/>
      <c r="G49" s="43">
        <f>'Peticions PDI o PAS'!K8</f>
        <v>0</v>
      </c>
      <c r="H49" s="99">
        <f>'Peticions PDI o PAS'!AW7</f>
        <v>0</v>
      </c>
      <c r="I49" s="43"/>
      <c r="J49" s="43"/>
    </row>
    <row r="50" spans="1:22" ht="15.75" customHeight="1" thickBot="1">
      <c r="A50" s="43"/>
      <c r="B50" s="43"/>
      <c r="C50" s="43"/>
      <c r="D50" s="43"/>
      <c r="E50" s="123">
        <f>SUM(E47:E49)</f>
        <v>0</v>
      </c>
      <c r="F50" s="43"/>
      <c r="G50" s="43"/>
      <c r="H50" s="130">
        <f>SUM(H47:H49)</f>
        <v>0</v>
      </c>
      <c r="I50" s="43"/>
      <c r="J50" s="43"/>
    </row>
    <row r="51" spans="1:22" s="5" customFormat="1" ht="24" customHeight="1" thickBot="1">
      <c r="A51" s="43"/>
      <c r="B51" s="43"/>
      <c r="C51" s="43"/>
      <c r="D51" s="113"/>
      <c r="E51" s="113"/>
      <c r="F51" s="113"/>
      <c r="G51" s="113"/>
      <c r="H51" s="128">
        <f>SUM(H37:H49)</f>
        <v>0</v>
      </c>
      <c r="I51" s="129">
        <f>'Peticions PDI o PAS'!BK9</f>
        <v>0</v>
      </c>
      <c r="J51" s="113"/>
    </row>
    <row r="52" spans="1:22" s="5" customFormat="1" ht="38.4" customHeight="1" thickTop="1">
      <c r="A52" s="9" t="s">
        <v>146</v>
      </c>
      <c r="B52" s="10" t="s">
        <v>98</v>
      </c>
      <c r="C52" s="11"/>
      <c r="D52" s="44" t="s">
        <v>232</v>
      </c>
      <c r="E52"/>
      <c r="F52" s="11"/>
      <c r="G52" s="43"/>
      <c r="H52" s="43"/>
      <c r="I52" s="43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</row>
    <row r="53" spans="1:22" ht="13.2">
      <c r="A53" s="127" t="s">
        <v>9</v>
      </c>
      <c r="B53" s="98">
        <v>1520</v>
      </c>
      <c r="C53" s="168">
        <f>COUNTIF('Peticions PDI o PAS'!AT11:AT110,"Direcció centre1S")</f>
        <v>0</v>
      </c>
      <c r="D53" s="43" t="e">
        <f>IF('Peticions PDI o PAS'!F2="Bloc 2 - PAS", IF(C53&gt;5,5,C53),0)</f>
        <v>#N/A</v>
      </c>
      <c r="F53" s="43"/>
      <c r="G53" s="43"/>
      <c r="H53" s="43"/>
      <c r="I53" s="43"/>
      <c r="J53" s="43"/>
    </row>
    <row r="54" spans="1:22" ht="13.2">
      <c r="A54" s="127" t="s">
        <v>8</v>
      </c>
      <c r="B54" s="98">
        <v>1520</v>
      </c>
      <c r="C54" s="168">
        <f>COUNTIF('Peticions PDI o PAS'!AT11:AT110,"Direcció departament1S")</f>
        <v>0</v>
      </c>
      <c r="D54" s="43" t="e">
        <f>IF('Peticions PDI o PAS'!F2="Bloc 1 - PDI", IF(C54&gt;2,2,C54),0)</f>
        <v>#N/A</v>
      </c>
      <c r="F54" s="43"/>
      <c r="G54" s="43"/>
      <c r="H54" s="43"/>
      <c r="I54" s="43"/>
      <c r="J54" s="43"/>
    </row>
    <row r="55" spans="1:22" ht="13.2">
      <c r="A55" s="127" t="s">
        <v>11</v>
      </c>
      <c r="B55" s="98">
        <v>1520</v>
      </c>
      <c r="C55" s="43"/>
      <c r="D55" s="121">
        <f>COUNTIF('Peticions PDI o PAS'!AT11:AT110,"PAS1S")</f>
        <v>0</v>
      </c>
      <c r="F55" s="43"/>
      <c r="G55" s="43"/>
      <c r="H55" s="43"/>
      <c r="I55" s="43"/>
      <c r="J55" s="43"/>
    </row>
    <row r="56" spans="1:22" ht="13.2">
      <c r="A56" s="127" t="s">
        <v>14</v>
      </c>
      <c r="B56" s="98">
        <v>1695</v>
      </c>
      <c r="C56" s="43"/>
      <c r="D56" s="43">
        <f>COUNTIF('Peticions PDI o PAS'!AT11:AT110,"PAS tècnic1S")</f>
        <v>0</v>
      </c>
      <c r="F56" s="43"/>
      <c r="G56" s="43"/>
      <c r="H56" s="43"/>
      <c r="I56" s="43"/>
      <c r="J56" s="43"/>
    </row>
    <row r="57" spans="1:22" ht="13.2">
      <c r="A57" s="127" t="s">
        <v>59</v>
      </c>
      <c r="B57" s="98">
        <v>1695</v>
      </c>
      <c r="C57" s="43"/>
      <c r="D57" s="43">
        <f>COUNTIF('Peticions PDI o PAS'!AT11:AT110,"PDI TC1S")</f>
        <v>0</v>
      </c>
      <c r="F57" s="43"/>
      <c r="G57" s="43"/>
      <c r="H57" s="43"/>
      <c r="I57" s="43"/>
      <c r="J57" s="43"/>
    </row>
    <row r="58" spans="1:22" ht="13.2">
      <c r="A58" s="127" t="s">
        <v>60</v>
      </c>
      <c r="B58" s="98">
        <v>280</v>
      </c>
      <c r="C58" s="43"/>
      <c r="D58" s="43">
        <f>COUNTIF('Peticions PDI o PAS'!AT11:AT110,"PDI TP1S")</f>
        <v>0</v>
      </c>
      <c r="F58" s="43"/>
      <c r="G58" s="43"/>
      <c r="H58" s="43"/>
      <c r="I58" s="43"/>
      <c r="J58" s="43"/>
    </row>
    <row r="59" spans="1:22" ht="15.75" customHeight="1" thickBot="1">
      <c r="A59" s="43"/>
      <c r="B59" s="43"/>
      <c r="C59" s="43"/>
      <c r="D59" s="122" t="e">
        <f>SUM(D53:D58)</f>
        <v>#N/A</v>
      </c>
      <c r="F59" s="43"/>
      <c r="G59" s="99"/>
      <c r="H59" s="43"/>
      <c r="I59" s="43"/>
      <c r="J59" s="43"/>
    </row>
    <row r="60" spans="1:22" ht="15.75" customHeight="1">
      <c r="A60" s="43"/>
      <c r="B60" s="43"/>
      <c r="C60" s="43"/>
      <c r="D60" s="43"/>
      <c r="F60" s="43"/>
      <c r="G60" s="43"/>
      <c r="H60" s="43"/>
      <c r="I60" s="43"/>
      <c r="J60" s="43"/>
    </row>
  </sheetData>
  <sortState ref="A53:E58">
    <sortCondition ref="A53:A58"/>
  </sortState>
  <mergeCells count="2">
    <mergeCell ref="G1:I1"/>
    <mergeCell ref="G39:I39"/>
  </mergeCells>
  <conditionalFormatting sqref="D53:D54">
    <cfRule type="expression" dxfId="3" priority="2">
      <formula>IF(C53&lt;&gt;D53,TRUE,FALSE)</formula>
    </cfRule>
  </conditionalFormatting>
  <conditionalFormatting sqref="G59">
    <cfRule type="expression" dxfId="2" priority="1">
      <formula>IF($G$59&lt;&gt;$E$59,TRUE,FALSE)</formula>
    </cfRule>
  </conditionalFormatting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35"/>
  <sheetViews>
    <sheetView workbookViewId="0">
      <selection activeCell="B2" sqref="B2:E2"/>
    </sheetView>
  </sheetViews>
  <sheetFormatPr baseColWidth="10" defaultRowHeight="13.2"/>
  <cols>
    <col min="1" max="1" width="2.44140625" customWidth="1"/>
    <col min="3" max="3" width="19.109375" customWidth="1"/>
    <col min="5" max="5" width="13.5546875" customWidth="1"/>
    <col min="6" max="6" width="17.6640625" customWidth="1"/>
    <col min="7" max="7" width="3" customWidth="1"/>
    <col min="8" max="8" width="22.88671875" customWidth="1"/>
  </cols>
  <sheetData>
    <row r="2" spans="2:6" ht="28.2" customHeight="1">
      <c r="B2" s="214">
        <f>'Peticions PDI o PAS'!B2</f>
        <v>0</v>
      </c>
      <c r="C2" s="214"/>
      <c r="D2" s="214"/>
      <c r="E2" s="214"/>
      <c r="F2" s="82" t="e">
        <f>'Peticions PDI o PAS'!F2</f>
        <v>#N/A</v>
      </c>
    </row>
    <row r="3" spans="2:6" ht="21.6" customHeight="1"/>
    <row r="4" spans="2:6" s="5" customFormat="1" ht="19.95" customHeight="1">
      <c r="B4" s="169" t="s">
        <v>192</v>
      </c>
      <c r="D4" s="188" t="s">
        <v>236</v>
      </c>
      <c r="E4" s="170" t="s">
        <v>48</v>
      </c>
    </row>
    <row r="5" spans="2:6">
      <c r="C5" t="s">
        <v>181</v>
      </c>
      <c r="D5">
        <f>Calculs!F25</f>
        <v>0</v>
      </c>
      <c r="E5" s="52">
        <f>SUM(Calculs!E20:E25)</f>
        <v>0</v>
      </c>
    </row>
    <row r="6" spans="2:6">
      <c r="C6" t="s">
        <v>182</v>
      </c>
      <c r="D6">
        <f>Calculs!F31</f>
        <v>0</v>
      </c>
      <c r="E6" s="45">
        <f>SUM(Calculs!E26:E31)</f>
        <v>0</v>
      </c>
    </row>
    <row r="7" spans="2:6">
      <c r="C7" t="s">
        <v>183</v>
      </c>
      <c r="D7">
        <f>Calculs!F33</f>
        <v>0</v>
      </c>
      <c r="E7" s="45">
        <f>SUM(Calculs!E32:E33)</f>
        <v>0</v>
      </c>
    </row>
    <row r="8" spans="2:6">
      <c r="C8" t="s">
        <v>184</v>
      </c>
      <c r="D8">
        <f>Calculs!F9</f>
        <v>0</v>
      </c>
      <c r="E8" s="45">
        <f>SUM(Calculs!E2:E9)</f>
        <v>0</v>
      </c>
    </row>
    <row r="9" spans="2:6">
      <c r="C9" t="s">
        <v>185</v>
      </c>
      <c r="D9">
        <f>Calculs!F17</f>
        <v>0</v>
      </c>
      <c r="E9" s="45">
        <f>SUM(Calculs!E10:E17)</f>
        <v>0</v>
      </c>
    </row>
    <row r="10" spans="2:6">
      <c r="C10" t="s">
        <v>186</v>
      </c>
      <c r="D10">
        <f>Calculs!F35</f>
        <v>0</v>
      </c>
      <c r="E10" s="45">
        <f>SUM(Calculs!E34:E35)</f>
        <v>0</v>
      </c>
    </row>
    <row r="11" spans="2:6">
      <c r="C11" t="s">
        <v>58</v>
      </c>
      <c r="D11">
        <f>Calculs!D36</f>
        <v>0</v>
      </c>
      <c r="E11" s="45">
        <f>Calculs!E36</f>
        <v>0</v>
      </c>
    </row>
    <row r="12" spans="2:6" ht="13.8" thickBot="1">
      <c r="D12" s="181">
        <f>SUM(D5:D11)</f>
        <v>0</v>
      </c>
      <c r="E12" s="130">
        <f>SUM(E5:E11)</f>
        <v>0</v>
      </c>
    </row>
    <row r="13" spans="2:6" ht="13.8" thickTop="1">
      <c r="D13" s="182"/>
      <c r="E13" s="45"/>
    </row>
    <row r="15" spans="2:6">
      <c r="C15" t="s">
        <v>187</v>
      </c>
      <c r="D15" s="43">
        <f>Calculs!D44</f>
        <v>0</v>
      </c>
      <c r="E15" s="45">
        <f>Calculs!E44</f>
        <v>0</v>
      </c>
    </row>
    <row r="16" spans="2:6">
      <c r="C16" t="s">
        <v>188</v>
      </c>
      <c r="D16">
        <f>Calculs!D49</f>
        <v>0</v>
      </c>
      <c r="E16" s="45">
        <f>Calculs!E49</f>
        <v>0</v>
      </c>
    </row>
    <row r="17" spans="2:9">
      <c r="C17" t="s">
        <v>189</v>
      </c>
      <c r="D17">
        <f>Calculs!D47</f>
        <v>0</v>
      </c>
      <c r="E17" s="45">
        <f>Calculs!E47</f>
        <v>0</v>
      </c>
    </row>
    <row r="18" spans="2:9">
      <c r="C18" t="s">
        <v>26</v>
      </c>
      <c r="D18">
        <f>Calculs!D48</f>
        <v>0</v>
      </c>
      <c r="E18" s="45">
        <f>Calculs!E48</f>
        <v>0</v>
      </c>
    </row>
    <row r="19" spans="2:9" ht="13.8" thickBot="1">
      <c r="E19" s="53">
        <f>SUM(E12:E18)</f>
        <v>0</v>
      </c>
    </row>
    <row r="20" spans="2:9" ht="13.8" thickTop="1"/>
    <row r="21" spans="2:9" s="6" customFormat="1" ht="29.4" customHeight="1">
      <c r="B21" s="169" t="s">
        <v>191</v>
      </c>
      <c r="D21" s="171" t="s">
        <v>190</v>
      </c>
      <c r="E21"/>
      <c r="F21" s="172" t="s">
        <v>194</v>
      </c>
    </row>
    <row r="22" spans="2:9">
      <c r="C22" s="43" t="s">
        <v>59</v>
      </c>
      <c r="D22">
        <f>Calculs!D57</f>
        <v>0</v>
      </c>
      <c r="F22" s="226" t="e">
        <f>VLOOKUP(B2,Finançament!A3:E56,5)</f>
        <v>#N/A</v>
      </c>
      <c r="H22" s="43"/>
      <c r="I22" s="43"/>
    </row>
    <row r="23" spans="2:9">
      <c r="C23" s="43" t="s">
        <v>60</v>
      </c>
      <c r="D23">
        <f>Calculs!D58</f>
        <v>0</v>
      </c>
      <c r="F23" s="226"/>
      <c r="H23" s="43"/>
    </row>
    <row r="24" spans="2:9">
      <c r="C24" s="43" t="s">
        <v>8</v>
      </c>
      <c r="D24" t="e">
        <f>Calculs!D54</f>
        <v>#N/A</v>
      </c>
      <c r="F24" s="226"/>
      <c r="H24" s="43"/>
    </row>
    <row r="25" spans="2:9">
      <c r="C25" s="43" t="s">
        <v>9</v>
      </c>
      <c r="D25" t="e">
        <f>Calculs!D53</f>
        <v>#N/A</v>
      </c>
      <c r="F25" s="226"/>
      <c r="H25" s="43"/>
    </row>
    <row r="26" spans="2:9">
      <c r="C26" s="43" t="s">
        <v>11</v>
      </c>
      <c r="D26">
        <f>Calculs!D55</f>
        <v>0</v>
      </c>
      <c r="F26" s="226"/>
    </row>
    <row r="27" spans="2:9">
      <c r="C27" s="43" t="s">
        <v>14</v>
      </c>
      <c r="D27">
        <f>Calculs!D56</f>
        <v>0</v>
      </c>
      <c r="F27" s="226"/>
    </row>
    <row r="28" spans="2:9" ht="13.8" thickBot="1">
      <c r="D28" s="49" t="e">
        <f>SUM(D22:D27)</f>
        <v>#N/A</v>
      </c>
      <c r="F28" s="227"/>
    </row>
    <row r="29" spans="2:9" ht="13.8" thickTop="1"/>
    <row r="30" spans="2:9" ht="13.8" thickBot="1"/>
    <row r="31" spans="2:9" s="5" customFormat="1" ht="39.6">
      <c r="B31" s="56" t="s">
        <v>180</v>
      </c>
      <c r="C31" s="57" t="s">
        <v>235</v>
      </c>
      <c r="D31" s="57" t="s">
        <v>48</v>
      </c>
      <c r="E31" s="57" t="s">
        <v>195</v>
      </c>
      <c r="F31" s="58" t="s">
        <v>193</v>
      </c>
    </row>
    <row r="32" spans="2:9" ht="22.2" customHeight="1" thickBot="1">
      <c r="B32" s="55"/>
      <c r="C32" s="180">
        <f>D12</f>
        <v>0</v>
      </c>
      <c r="D32" s="173">
        <f>E19</f>
        <v>0</v>
      </c>
      <c r="E32" s="173" t="e">
        <f xml:space="preserve"> IF(D32&lt;F22, D32, F22)</f>
        <v>#N/A</v>
      </c>
      <c r="F32" s="174" t="e">
        <f>IF(E19&lt;E32,0,E19-E32)</f>
        <v>#N/A</v>
      </c>
    </row>
    <row r="33" spans="5:5">
      <c r="E33" s="54"/>
    </row>
    <row r="34" spans="5:5">
      <c r="E34" s="54"/>
    </row>
    <row r="35" spans="5:5">
      <c r="E35" s="54"/>
    </row>
  </sheetData>
  <mergeCells count="2">
    <mergeCell ref="F22:F28"/>
    <mergeCell ref="B2:E2"/>
  </mergeCells>
  <conditionalFormatting sqref="D24">
    <cfRule type="expression" dxfId="1" priority="2">
      <formula>IF(D24&gt;2,TRUE,FALSE)</formula>
    </cfRule>
  </conditionalFormatting>
  <conditionalFormatting sqref="D25">
    <cfRule type="expression" dxfId="0" priority="1">
      <formula>IF(D25&gt;5,TRUE,FALSE)</formula>
    </cfRule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Peticions PDI o PAS</vt:lpstr>
      <vt:lpstr>Llistes</vt:lpstr>
      <vt:lpstr>Finançament</vt:lpstr>
      <vt:lpstr>Calculs</vt:lpstr>
      <vt:lpstr>Resum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Lluis Perez</dc:creator>
  <cp:lastModifiedBy>Lluís Pérez</cp:lastModifiedBy>
  <dcterms:created xsi:type="dcterms:W3CDTF">2021-09-28T17:34:31Z</dcterms:created>
  <dcterms:modified xsi:type="dcterms:W3CDTF">2021-10-15T06:27:26Z</dcterms:modified>
</cp:coreProperties>
</file>